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lexpedia.sharepoint.com/Finance/Finance/Control/Begroting/2026/Test bestanden Kostprijzenoverzicht/"/>
    </mc:Choice>
  </mc:AlternateContent>
  <xr:revisionPtr revIDLastSave="53" documentId="8_{741FAB22-E864-41B1-B275-923F7900ED88}" xr6:coauthVersionLast="47" xr6:coauthVersionMax="47" xr10:uidLastSave="{DF3624C4-1C0A-46E9-84AF-C55EEDB7E0BD}"/>
  <workbookProtection workbookAlgorithmName="SHA-512" workbookHashValue="M1t1f7wnx9OHKp7zj3ctXKax1Ctn+W6d56c3ECRihuCpWJuBlVmT7cXHwcrwjfKctvxLz9k4mkgBPAOf1AXBnQ==" workbookSaltValue="hxTBS4NmlWgCxNWzoXoKDA==" workbookSpinCount="100000" lockStructure="1"/>
  <bookViews>
    <workbookView xWindow="-108" yWindow="-108" windowWidth="23256" windowHeight="12456" tabRatio="780" xr2:uid="{47123CDA-B994-4FD4-9831-55BB4EE4E17C}"/>
  </bookViews>
  <sheets>
    <sheet name="Calculator" sheetId="57" r:id="rId1"/>
    <sheet name="Calculator verbergen" sheetId="65" state="hidden" r:id="rId2"/>
    <sheet name="Database calculator" sheetId="58" state="hidden" r:id="rId3"/>
    <sheet name="KP overzicht" sheetId="18" state="hidden" r:id="rId4"/>
    <sheet name="Pensioen" sheetId="12" state="hidden" r:id="rId5"/>
    <sheet name="Feestdagen" sheetId="4" state="hidden" r:id="rId6"/>
    <sheet name="ET 2026" sheetId="9" state="hidden" r:id="rId7"/>
    <sheet name="Basis" sheetId="1" state="hidden" r:id="rId8"/>
    <sheet name="55. Productiegerichte dierhoud" sheetId="59" state="hidden" r:id="rId9"/>
  </sheets>
  <definedNames>
    <definedName name="_xlnm._FilterDatabase" localSheetId="2" hidden="1">'Database calculator'!$A$1:$AK$1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59" l="1"/>
  <c r="AM33" i="59"/>
  <c r="AJ33" i="59"/>
  <c r="AF33" i="59"/>
  <c r="AC33" i="59"/>
  <c r="Y33" i="59"/>
  <c r="V33" i="59"/>
  <c r="R33" i="59"/>
  <c r="O33" i="59"/>
  <c r="K33" i="59"/>
  <c r="H33" i="59"/>
  <c r="D33" i="59"/>
  <c r="AM31" i="59"/>
  <c r="AL31" i="59"/>
  <c r="AJ31" i="59"/>
  <c r="AI31" i="59"/>
  <c r="AF31" i="59"/>
  <c r="AE31" i="59"/>
  <c r="AC31" i="59"/>
  <c r="AB31" i="59"/>
  <c r="Y31" i="59"/>
  <c r="X31" i="59"/>
  <c r="V31" i="59"/>
  <c r="U31" i="59"/>
  <c r="R31" i="59"/>
  <c r="Q31" i="59"/>
  <c r="O31" i="59"/>
  <c r="N31" i="59"/>
  <c r="K31" i="59"/>
  <c r="J31" i="59"/>
  <c r="H31" i="59"/>
  <c r="G31" i="59"/>
  <c r="D31" i="59"/>
  <c r="AL30" i="59"/>
  <c r="AI30" i="59"/>
  <c r="AE30" i="59"/>
  <c r="AB30" i="59"/>
  <c r="X30" i="59"/>
  <c r="U30" i="59"/>
  <c r="Q30" i="59"/>
  <c r="N30" i="59"/>
  <c r="J30" i="59"/>
  <c r="G30" i="59"/>
  <c r="AL29" i="59"/>
  <c r="AI29" i="59"/>
  <c r="AE29" i="59"/>
  <c r="AB29" i="59"/>
  <c r="X29" i="59"/>
  <c r="U29" i="59"/>
  <c r="Q29" i="59"/>
  <c r="N29" i="59"/>
  <c r="J29" i="59"/>
  <c r="G29" i="59"/>
  <c r="AM27" i="59"/>
  <c r="AL27" i="59"/>
  <c r="AJ27" i="59"/>
  <c r="AI27" i="59"/>
  <c r="AF27" i="59"/>
  <c r="AE27" i="59"/>
  <c r="AC27" i="59"/>
  <c r="AB27" i="59"/>
  <c r="Y27" i="59"/>
  <c r="X27" i="59"/>
  <c r="V27" i="59"/>
  <c r="U27" i="59"/>
  <c r="R27" i="59"/>
  <c r="Q27" i="59"/>
  <c r="O27" i="59"/>
  <c r="N27" i="59"/>
  <c r="K27" i="59"/>
  <c r="J27" i="59"/>
  <c r="H27" i="59"/>
  <c r="G27" i="59"/>
  <c r="D27" i="59"/>
  <c r="AL26" i="59"/>
  <c r="AI26" i="59"/>
  <c r="AE26" i="59"/>
  <c r="AB26" i="59"/>
  <c r="X26" i="59"/>
  <c r="U26" i="59"/>
  <c r="Q26" i="59"/>
  <c r="N26" i="59"/>
  <c r="J26" i="59"/>
  <c r="G26" i="59"/>
  <c r="AL25" i="59"/>
  <c r="AI25" i="59"/>
  <c r="AE25" i="59"/>
  <c r="AB25" i="59"/>
  <c r="X25" i="59"/>
  <c r="U25" i="59"/>
  <c r="Q25" i="59"/>
  <c r="N25" i="59"/>
  <c r="J25" i="59"/>
  <c r="G25" i="59"/>
  <c r="AL24" i="59"/>
  <c r="AI24" i="59"/>
  <c r="AE24" i="59"/>
  <c r="AB24" i="59"/>
  <c r="X24" i="59"/>
  <c r="U24" i="59"/>
  <c r="Q24" i="59"/>
  <c r="N24" i="59"/>
  <c r="J24" i="59"/>
  <c r="G24" i="59"/>
  <c r="AL23" i="59"/>
  <c r="AI23" i="59"/>
  <c r="AE23" i="59"/>
  <c r="AB23" i="59"/>
  <c r="X23" i="59"/>
  <c r="U23" i="59"/>
  <c r="Q23" i="59"/>
  <c r="N23" i="59"/>
  <c r="J23" i="59"/>
  <c r="G23" i="59"/>
  <c r="AL22" i="59"/>
  <c r="AI22" i="59"/>
  <c r="AE22" i="59"/>
  <c r="AB22" i="59"/>
  <c r="X22" i="59"/>
  <c r="U22" i="59"/>
  <c r="Q22" i="59"/>
  <c r="N22" i="59"/>
  <c r="J22" i="59"/>
  <c r="G22" i="59"/>
  <c r="AL21" i="59"/>
  <c r="AI21" i="59"/>
  <c r="AE21" i="59"/>
  <c r="AB21" i="59"/>
  <c r="X21" i="59"/>
  <c r="U21" i="59"/>
  <c r="Q21" i="59"/>
  <c r="N21" i="59"/>
  <c r="J21" i="59"/>
  <c r="G21" i="59"/>
  <c r="AL20" i="59"/>
  <c r="AE20" i="59"/>
  <c r="X20" i="59"/>
  <c r="Q20" i="59"/>
  <c r="N20" i="59"/>
  <c r="J20" i="59"/>
  <c r="G20" i="59"/>
  <c r="AL19" i="59"/>
  <c r="AE19" i="59"/>
  <c r="X19" i="59"/>
  <c r="Q19" i="59"/>
  <c r="J19" i="59"/>
  <c r="AL18" i="59"/>
  <c r="AI18" i="59"/>
  <c r="AE18" i="59"/>
  <c r="AB18" i="59"/>
  <c r="X18" i="59"/>
  <c r="U18" i="59"/>
  <c r="Q18" i="59"/>
  <c r="N18" i="59"/>
  <c r="J18" i="59"/>
  <c r="G18" i="59"/>
  <c r="AL17" i="59"/>
  <c r="AI17" i="59"/>
  <c r="AE17" i="59"/>
  <c r="AB17" i="59"/>
  <c r="X17" i="59"/>
  <c r="U17" i="59"/>
  <c r="Q17" i="59"/>
  <c r="N17" i="59"/>
  <c r="J17" i="59"/>
  <c r="G17" i="59"/>
  <c r="AL16" i="59"/>
  <c r="AI16" i="59"/>
  <c r="AE16" i="59"/>
  <c r="AB16" i="59"/>
  <c r="X16" i="59"/>
  <c r="U16" i="59"/>
  <c r="Q16" i="59"/>
  <c r="N16" i="59"/>
  <c r="J16" i="59"/>
  <c r="G16" i="59"/>
  <c r="AM13" i="59"/>
  <c r="AL13" i="59"/>
  <c r="AJ13" i="59"/>
  <c r="AI13" i="59"/>
  <c r="AF13" i="59"/>
  <c r="AE13" i="59"/>
  <c r="AC13" i="59"/>
  <c r="AB13" i="59"/>
  <c r="Y13" i="59"/>
  <c r="X13" i="59"/>
  <c r="V13" i="59"/>
  <c r="U13" i="59"/>
  <c r="R13" i="59"/>
  <c r="Q13" i="59"/>
  <c r="O13" i="59"/>
  <c r="K13" i="59"/>
  <c r="J13" i="59"/>
  <c r="H13" i="59"/>
  <c r="D13" i="59"/>
  <c r="AM11" i="59"/>
  <c r="AL11" i="59"/>
  <c r="AJ11" i="59"/>
  <c r="AI11" i="59"/>
  <c r="AF11" i="59"/>
  <c r="AE11" i="59"/>
  <c r="AC11" i="59"/>
  <c r="AB11" i="59"/>
  <c r="Y11" i="59"/>
  <c r="X11" i="59"/>
  <c r="V11" i="59"/>
  <c r="U11" i="59"/>
  <c r="R11" i="59"/>
  <c r="Q11" i="59"/>
  <c r="O11" i="59"/>
  <c r="N11" i="59"/>
  <c r="K11" i="59"/>
  <c r="J11" i="59"/>
  <c r="H11" i="59"/>
  <c r="G11" i="59"/>
  <c r="D11" i="59"/>
  <c r="AL10" i="59"/>
  <c r="AI10" i="59"/>
  <c r="AE10" i="59"/>
  <c r="AB10" i="59"/>
  <c r="X10" i="59"/>
  <c r="U10" i="59"/>
  <c r="Q10" i="59"/>
  <c r="N10" i="59"/>
  <c r="J10" i="59"/>
  <c r="G10" i="59"/>
  <c r="AL9" i="59"/>
  <c r="AI9" i="59"/>
  <c r="AE9" i="59"/>
  <c r="AB9" i="59"/>
  <c r="X9" i="59"/>
  <c r="U9" i="59"/>
  <c r="Q9" i="59"/>
  <c r="N9" i="59"/>
  <c r="J9" i="59"/>
  <c r="G9" i="59"/>
  <c r="AL8" i="59"/>
  <c r="AI8" i="59"/>
  <c r="AE8" i="59"/>
  <c r="AB8" i="59"/>
  <c r="X8" i="59"/>
  <c r="U8" i="59"/>
  <c r="Q8" i="59"/>
  <c r="N8" i="59"/>
  <c r="J8" i="59"/>
  <c r="G8" i="59"/>
  <c r="AL7" i="59"/>
  <c r="AI7" i="59"/>
  <c r="AE7" i="59"/>
  <c r="AB7" i="59"/>
  <c r="X7" i="59"/>
  <c r="U7" i="59"/>
  <c r="Q7" i="59"/>
  <c r="N7" i="59"/>
  <c r="J7" i="59"/>
  <c r="G7" i="59"/>
  <c r="AM5" i="59"/>
  <c r="AL5" i="59"/>
  <c r="AJ5" i="59"/>
  <c r="AF5" i="59"/>
  <c r="AE5" i="59"/>
  <c r="AC5" i="59"/>
  <c r="Y5" i="59"/>
  <c r="X5" i="59"/>
  <c r="V5" i="59"/>
  <c r="R5" i="59"/>
  <c r="Q5" i="59"/>
  <c r="O5" i="59"/>
  <c r="K5" i="59"/>
  <c r="J5" i="59"/>
  <c r="H5" i="59"/>
  <c r="D5" i="59"/>
  <c r="AL3" i="59"/>
  <c r="AE3" i="59"/>
  <c r="X3" i="59"/>
  <c r="Q3" i="59"/>
  <c r="J3" i="59"/>
  <c r="G180" i="1"/>
  <c r="F180" i="1"/>
  <c r="G176" i="1"/>
  <c r="F176" i="1"/>
  <c r="E176" i="1"/>
  <c r="D176" i="1"/>
  <c r="C176" i="1"/>
  <c r="C164" i="1"/>
  <c r="C149" i="1"/>
  <c r="C134" i="1"/>
  <c r="C119" i="1"/>
  <c r="S107" i="1"/>
  <c r="M107" i="1"/>
  <c r="J107" i="1"/>
  <c r="I107" i="1"/>
  <c r="H107" i="1"/>
  <c r="G107" i="1"/>
  <c r="C107" i="1"/>
  <c r="S106" i="1"/>
  <c r="M106" i="1"/>
  <c r="J106" i="1"/>
  <c r="I106" i="1"/>
  <c r="H106" i="1"/>
  <c r="G106" i="1"/>
  <c r="C106" i="1"/>
  <c r="S105" i="1"/>
  <c r="M105" i="1"/>
  <c r="J105" i="1"/>
  <c r="I105" i="1"/>
  <c r="H105" i="1"/>
  <c r="G105" i="1"/>
  <c r="C105" i="1"/>
  <c r="M104" i="1"/>
  <c r="J104" i="1"/>
  <c r="I104" i="1"/>
  <c r="H104" i="1"/>
  <c r="G104" i="1"/>
  <c r="D104" i="1"/>
  <c r="C104" i="1"/>
  <c r="M103" i="1"/>
  <c r="J103" i="1"/>
  <c r="I103" i="1"/>
  <c r="H103" i="1"/>
  <c r="G103" i="1"/>
  <c r="C103" i="1"/>
  <c r="M102" i="1"/>
  <c r="J102" i="1"/>
  <c r="I102" i="1"/>
  <c r="H102" i="1"/>
  <c r="G102" i="1"/>
  <c r="C102" i="1"/>
  <c r="M101" i="1"/>
  <c r="J101" i="1"/>
  <c r="I101" i="1"/>
  <c r="H101" i="1"/>
  <c r="G101" i="1"/>
  <c r="C101" i="1"/>
  <c r="M100" i="1"/>
  <c r="J100" i="1"/>
  <c r="I100" i="1"/>
  <c r="H100" i="1"/>
  <c r="G100" i="1"/>
  <c r="D100" i="1"/>
  <c r="C100" i="1"/>
  <c r="M99" i="1"/>
  <c r="J99" i="1"/>
  <c r="I99" i="1"/>
  <c r="H99" i="1"/>
  <c r="G99" i="1"/>
  <c r="C99" i="1"/>
  <c r="M98" i="1"/>
  <c r="J98" i="1"/>
  <c r="I98" i="1"/>
  <c r="H98" i="1"/>
  <c r="G98" i="1"/>
  <c r="C98" i="1"/>
  <c r="M97" i="1"/>
  <c r="J97" i="1"/>
  <c r="I97" i="1"/>
  <c r="H97" i="1"/>
  <c r="G97" i="1"/>
  <c r="C97" i="1"/>
  <c r="M96" i="1"/>
  <c r="J96" i="1"/>
  <c r="I96" i="1"/>
  <c r="H96" i="1"/>
  <c r="G96" i="1"/>
  <c r="C96" i="1"/>
  <c r="M95" i="1"/>
  <c r="J95" i="1"/>
  <c r="I95" i="1"/>
  <c r="H95" i="1"/>
  <c r="G95" i="1"/>
  <c r="C95" i="1"/>
  <c r="M94" i="1"/>
  <c r="J94" i="1"/>
  <c r="I94" i="1"/>
  <c r="H94" i="1"/>
  <c r="G94" i="1"/>
  <c r="D94" i="1"/>
  <c r="M93" i="1"/>
  <c r="J93" i="1"/>
  <c r="I93" i="1"/>
  <c r="H93" i="1"/>
  <c r="G93" i="1"/>
  <c r="C93" i="1"/>
  <c r="M92" i="1"/>
  <c r="J92" i="1"/>
  <c r="I92" i="1"/>
  <c r="H92" i="1"/>
  <c r="G92" i="1"/>
  <c r="M91" i="1"/>
  <c r="J91" i="1"/>
  <c r="I91" i="1"/>
  <c r="H91" i="1"/>
  <c r="G91" i="1"/>
  <c r="C91" i="1"/>
  <c r="M90" i="1"/>
  <c r="J90" i="1"/>
  <c r="I90" i="1"/>
  <c r="H90" i="1"/>
  <c r="G90" i="1"/>
  <c r="C90" i="1"/>
  <c r="M89" i="1"/>
  <c r="J89" i="1"/>
  <c r="I89" i="1"/>
  <c r="H89" i="1"/>
  <c r="G89" i="1"/>
  <c r="C89" i="1"/>
  <c r="M88" i="1"/>
  <c r="J88" i="1"/>
  <c r="I88" i="1"/>
  <c r="H88" i="1"/>
  <c r="G88" i="1"/>
  <c r="C88" i="1"/>
  <c r="M87" i="1"/>
  <c r="J87" i="1"/>
  <c r="I87" i="1"/>
  <c r="H87" i="1"/>
  <c r="G87" i="1"/>
  <c r="C87" i="1"/>
  <c r="M86" i="1"/>
  <c r="J86" i="1"/>
  <c r="I86" i="1"/>
  <c r="H86" i="1"/>
  <c r="G86" i="1"/>
  <c r="C86" i="1"/>
  <c r="M85" i="1"/>
  <c r="J85" i="1"/>
  <c r="I85" i="1"/>
  <c r="H85" i="1"/>
  <c r="G85" i="1"/>
  <c r="C85" i="1"/>
  <c r="M84" i="1"/>
  <c r="J84" i="1"/>
  <c r="I84" i="1"/>
  <c r="H84" i="1"/>
  <c r="G84" i="1"/>
  <c r="C84" i="1"/>
  <c r="M83" i="1"/>
  <c r="J83" i="1"/>
  <c r="I83" i="1"/>
  <c r="H83" i="1"/>
  <c r="G83" i="1"/>
  <c r="C83" i="1"/>
  <c r="M82" i="1"/>
  <c r="J82" i="1"/>
  <c r="I82" i="1"/>
  <c r="H82" i="1"/>
  <c r="G82" i="1"/>
  <c r="C82" i="1"/>
  <c r="M81" i="1"/>
  <c r="J81" i="1"/>
  <c r="I81" i="1"/>
  <c r="H81" i="1"/>
  <c r="G81" i="1"/>
  <c r="C81" i="1"/>
  <c r="M80" i="1"/>
  <c r="J80" i="1"/>
  <c r="I80" i="1"/>
  <c r="H80" i="1"/>
  <c r="G80" i="1"/>
  <c r="C80" i="1"/>
  <c r="M79" i="1"/>
  <c r="J79" i="1"/>
  <c r="I79" i="1"/>
  <c r="H79" i="1"/>
  <c r="G79" i="1"/>
  <c r="C79" i="1"/>
  <c r="M78" i="1"/>
  <c r="J78" i="1"/>
  <c r="I78" i="1"/>
  <c r="H78" i="1"/>
  <c r="G78" i="1"/>
  <c r="C78" i="1"/>
  <c r="M77" i="1"/>
  <c r="J77" i="1"/>
  <c r="I77" i="1"/>
  <c r="H77" i="1"/>
  <c r="G77" i="1"/>
  <c r="C77" i="1"/>
  <c r="M76" i="1"/>
  <c r="J76" i="1"/>
  <c r="I76" i="1"/>
  <c r="H76" i="1"/>
  <c r="G76" i="1"/>
  <c r="M75" i="1"/>
  <c r="J75" i="1"/>
  <c r="I75" i="1"/>
  <c r="H75" i="1"/>
  <c r="G75" i="1"/>
  <c r="M74" i="1"/>
  <c r="J74" i="1"/>
  <c r="I74" i="1"/>
  <c r="H74" i="1"/>
  <c r="G74" i="1"/>
  <c r="C74" i="1"/>
  <c r="M73" i="1"/>
  <c r="J73" i="1"/>
  <c r="I73" i="1"/>
  <c r="H73" i="1"/>
  <c r="G73" i="1"/>
  <c r="C73" i="1"/>
  <c r="M72" i="1"/>
  <c r="J72" i="1"/>
  <c r="I72" i="1"/>
  <c r="H72" i="1"/>
  <c r="G72" i="1"/>
  <c r="M71" i="1"/>
  <c r="J71" i="1"/>
  <c r="I71" i="1"/>
  <c r="H71" i="1"/>
  <c r="G71" i="1"/>
  <c r="M70" i="1"/>
  <c r="J70" i="1"/>
  <c r="I70" i="1"/>
  <c r="H70" i="1"/>
  <c r="G70" i="1"/>
  <c r="M69" i="1"/>
  <c r="J69" i="1"/>
  <c r="I69" i="1"/>
  <c r="H69" i="1"/>
  <c r="G69" i="1"/>
  <c r="M68" i="1"/>
  <c r="J68" i="1"/>
  <c r="I68" i="1"/>
  <c r="H68" i="1"/>
  <c r="G68" i="1"/>
  <c r="D68" i="1"/>
  <c r="C68" i="1"/>
  <c r="M67" i="1"/>
  <c r="J67" i="1"/>
  <c r="I67" i="1"/>
  <c r="H67" i="1"/>
  <c r="G67" i="1"/>
  <c r="C67" i="1"/>
  <c r="M66" i="1"/>
  <c r="J66" i="1"/>
  <c r="I66" i="1"/>
  <c r="H66" i="1"/>
  <c r="G66" i="1"/>
  <c r="C66" i="1"/>
  <c r="M65" i="1"/>
  <c r="J65" i="1"/>
  <c r="I65" i="1"/>
  <c r="H65" i="1"/>
  <c r="G65" i="1"/>
  <c r="C65" i="1"/>
  <c r="M64" i="1"/>
  <c r="J64" i="1"/>
  <c r="I64" i="1"/>
  <c r="H64" i="1"/>
  <c r="G64" i="1"/>
  <c r="C64" i="1"/>
  <c r="M63" i="1"/>
  <c r="J63" i="1"/>
  <c r="I63" i="1"/>
  <c r="H63" i="1"/>
  <c r="G63" i="1"/>
  <c r="C63" i="1"/>
  <c r="M62" i="1"/>
  <c r="J62" i="1"/>
  <c r="I62" i="1"/>
  <c r="H62" i="1"/>
  <c r="G62" i="1"/>
  <c r="C62" i="1"/>
  <c r="M61" i="1"/>
  <c r="J61" i="1"/>
  <c r="I61" i="1"/>
  <c r="H61" i="1"/>
  <c r="G61" i="1"/>
  <c r="C61" i="1"/>
  <c r="M60" i="1"/>
  <c r="J60" i="1"/>
  <c r="I60" i="1"/>
  <c r="H60" i="1"/>
  <c r="G60" i="1"/>
  <c r="C60" i="1"/>
  <c r="M59" i="1"/>
  <c r="J59" i="1"/>
  <c r="I59" i="1"/>
  <c r="H59" i="1"/>
  <c r="G59" i="1"/>
  <c r="C59" i="1"/>
  <c r="M58" i="1"/>
  <c r="J58" i="1"/>
  <c r="I58" i="1"/>
  <c r="H58" i="1"/>
  <c r="G58" i="1"/>
  <c r="C58" i="1"/>
  <c r="M57" i="1"/>
  <c r="J57" i="1"/>
  <c r="I57" i="1"/>
  <c r="H57" i="1"/>
  <c r="G57" i="1"/>
  <c r="C57" i="1"/>
  <c r="M56" i="1"/>
  <c r="J56" i="1"/>
  <c r="I56" i="1"/>
  <c r="H56" i="1"/>
  <c r="G56" i="1"/>
  <c r="C56" i="1"/>
  <c r="M55" i="1"/>
  <c r="J55" i="1"/>
  <c r="I55" i="1"/>
  <c r="H55" i="1"/>
  <c r="G55" i="1"/>
  <c r="C55" i="1"/>
  <c r="M54" i="1"/>
  <c r="J54" i="1"/>
  <c r="I54" i="1"/>
  <c r="H54" i="1"/>
  <c r="G54" i="1"/>
  <c r="C54" i="1"/>
  <c r="M53" i="1"/>
  <c r="J53" i="1"/>
  <c r="I53" i="1"/>
  <c r="H53" i="1"/>
  <c r="G53" i="1"/>
  <c r="C53" i="1"/>
  <c r="M52" i="1"/>
  <c r="J52" i="1"/>
  <c r="I52" i="1"/>
  <c r="H52" i="1"/>
  <c r="G52" i="1"/>
  <c r="C52" i="1"/>
  <c r="M51" i="1"/>
  <c r="J51" i="1"/>
  <c r="I51" i="1"/>
  <c r="H51" i="1"/>
  <c r="G51" i="1"/>
  <c r="C51" i="1"/>
  <c r="N50" i="1"/>
  <c r="M50" i="1"/>
  <c r="J50" i="1"/>
  <c r="I50" i="1"/>
  <c r="H50" i="1"/>
  <c r="G50" i="1"/>
  <c r="C50" i="1"/>
  <c r="M49" i="1"/>
  <c r="J49" i="1"/>
  <c r="I49" i="1"/>
  <c r="H49" i="1"/>
  <c r="G49" i="1"/>
  <c r="C49" i="1"/>
  <c r="M48" i="1"/>
  <c r="J48" i="1"/>
  <c r="I48" i="1"/>
  <c r="H48" i="1"/>
  <c r="G48" i="1"/>
  <c r="C48" i="1"/>
  <c r="M47" i="1"/>
  <c r="J47" i="1"/>
  <c r="I47" i="1"/>
  <c r="H47" i="1"/>
  <c r="G47" i="1"/>
  <c r="C47" i="1"/>
  <c r="M46" i="1"/>
  <c r="J46" i="1"/>
  <c r="I46" i="1"/>
  <c r="H46" i="1"/>
  <c r="G46" i="1"/>
  <c r="C46" i="1"/>
  <c r="M45" i="1"/>
  <c r="J45" i="1"/>
  <c r="I45" i="1"/>
  <c r="H45" i="1"/>
  <c r="G45" i="1"/>
  <c r="C45" i="1"/>
  <c r="M44" i="1"/>
  <c r="J44" i="1"/>
  <c r="I44" i="1"/>
  <c r="H44" i="1"/>
  <c r="G44" i="1"/>
  <c r="C44" i="1"/>
  <c r="M43" i="1"/>
  <c r="J43" i="1"/>
  <c r="I43" i="1"/>
  <c r="H43" i="1"/>
  <c r="G43" i="1"/>
  <c r="C43" i="1"/>
  <c r="M42" i="1"/>
  <c r="J42" i="1"/>
  <c r="I42" i="1"/>
  <c r="H42" i="1"/>
  <c r="G42" i="1"/>
  <c r="C42" i="1"/>
  <c r="M41" i="1"/>
  <c r="J41" i="1"/>
  <c r="I41" i="1"/>
  <c r="H41" i="1"/>
  <c r="G41" i="1"/>
  <c r="C41" i="1"/>
  <c r="M40" i="1"/>
  <c r="J40" i="1"/>
  <c r="I40" i="1"/>
  <c r="H40" i="1"/>
  <c r="G40" i="1"/>
  <c r="C40" i="1"/>
  <c r="M39" i="1"/>
  <c r="J39" i="1"/>
  <c r="I39" i="1"/>
  <c r="H39" i="1"/>
  <c r="G39" i="1"/>
  <c r="M38" i="1"/>
  <c r="J38" i="1"/>
  <c r="I38" i="1"/>
  <c r="H38" i="1"/>
  <c r="G38" i="1"/>
  <c r="C38" i="1"/>
  <c r="M37" i="1"/>
  <c r="J37" i="1"/>
  <c r="I37" i="1"/>
  <c r="H37" i="1"/>
  <c r="G37" i="1"/>
  <c r="C37" i="1"/>
  <c r="M36" i="1"/>
  <c r="J36" i="1"/>
  <c r="I36" i="1"/>
  <c r="H36" i="1"/>
  <c r="G36" i="1"/>
  <c r="C36" i="1"/>
  <c r="M35" i="1"/>
  <c r="J35" i="1"/>
  <c r="I35" i="1"/>
  <c r="H35" i="1"/>
  <c r="G35" i="1"/>
  <c r="C35" i="1"/>
  <c r="M34" i="1"/>
  <c r="J34" i="1"/>
  <c r="I34" i="1"/>
  <c r="H34" i="1"/>
  <c r="G34" i="1"/>
  <c r="C34" i="1"/>
  <c r="M33" i="1"/>
  <c r="J33" i="1"/>
  <c r="I33" i="1"/>
  <c r="H33" i="1"/>
  <c r="G33" i="1"/>
  <c r="C33" i="1"/>
  <c r="M32" i="1"/>
  <c r="J32" i="1"/>
  <c r="I32" i="1"/>
  <c r="H32" i="1"/>
  <c r="G32" i="1"/>
  <c r="C32" i="1"/>
  <c r="M31" i="1"/>
  <c r="J31" i="1"/>
  <c r="I31" i="1"/>
  <c r="H31" i="1"/>
  <c r="G31" i="1"/>
  <c r="M30" i="1"/>
  <c r="J30" i="1"/>
  <c r="I30" i="1"/>
  <c r="H30" i="1"/>
  <c r="G30" i="1"/>
  <c r="C30" i="1"/>
  <c r="M29" i="1"/>
  <c r="J29" i="1"/>
  <c r="I29" i="1"/>
  <c r="H29" i="1"/>
  <c r="G29" i="1"/>
  <c r="M28" i="1"/>
  <c r="J28" i="1"/>
  <c r="I28" i="1"/>
  <c r="H28" i="1"/>
  <c r="G28" i="1"/>
  <c r="C28" i="1"/>
  <c r="M27" i="1"/>
  <c r="J27" i="1"/>
  <c r="I27" i="1"/>
  <c r="H27" i="1"/>
  <c r="G27" i="1"/>
  <c r="C27" i="1"/>
  <c r="M26" i="1"/>
  <c r="J26" i="1"/>
  <c r="I26" i="1"/>
  <c r="H26" i="1"/>
  <c r="G26" i="1"/>
  <c r="C26" i="1"/>
  <c r="H21" i="1"/>
  <c r="G21" i="1"/>
  <c r="H20" i="1"/>
  <c r="G20" i="1"/>
  <c r="H19" i="1"/>
  <c r="G19" i="1"/>
  <c r="H18" i="1"/>
  <c r="G18" i="1"/>
  <c r="D14" i="1"/>
  <c r="D13" i="1"/>
  <c r="D12" i="1"/>
  <c r="D11" i="1"/>
  <c r="D10" i="1"/>
  <c r="E6" i="1"/>
  <c r="E5" i="1"/>
  <c r="E4" i="1"/>
  <c r="E3" i="1"/>
  <c r="E2" i="1"/>
  <c r="E63" i="9"/>
  <c r="C63" i="9"/>
  <c r="B63" i="9"/>
  <c r="E62" i="9"/>
  <c r="C62" i="9"/>
  <c r="B62" i="9"/>
  <c r="E61" i="9"/>
  <c r="C61" i="9"/>
  <c r="B61" i="9"/>
  <c r="E60" i="9"/>
  <c r="C60" i="9"/>
  <c r="B60" i="9"/>
  <c r="M59" i="9"/>
  <c r="L59" i="9"/>
  <c r="K59" i="9"/>
  <c r="J59" i="9"/>
  <c r="I59" i="9"/>
  <c r="E59" i="9"/>
  <c r="C59" i="9"/>
  <c r="B59" i="9"/>
  <c r="L58" i="9"/>
  <c r="K58" i="9"/>
  <c r="J58" i="9"/>
  <c r="G58" i="9"/>
  <c r="E58" i="9"/>
  <c r="C58" i="9"/>
  <c r="B58" i="9"/>
  <c r="J25" i="9"/>
  <c r="H25" i="9"/>
  <c r="E25" i="9"/>
  <c r="C25" i="9"/>
  <c r="B25" i="9"/>
  <c r="J24" i="9"/>
  <c r="I24" i="9"/>
  <c r="H24" i="9"/>
  <c r="E24" i="9"/>
  <c r="C24" i="9"/>
  <c r="B24" i="9"/>
  <c r="J23" i="9"/>
  <c r="I23" i="9"/>
  <c r="H23" i="9"/>
  <c r="E23" i="9"/>
  <c r="C23" i="9"/>
  <c r="B23" i="9"/>
  <c r="J22" i="9"/>
  <c r="H22" i="9"/>
  <c r="E22" i="9"/>
  <c r="C22" i="9"/>
  <c r="B22" i="9"/>
  <c r="O21" i="9"/>
  <c r="J21" i="9"/>
  <c r="H21" i="9"/>
  <c r="E21" i="9"/>
  <c r="C21" i="9"/>
  <c r="B21" i="9"/>
  <c r="O20" i="9"/>
  <c r="J20" i="9"/>
  <c r="H20" i="9"/>
  <c r="E20" i="9"/>
  <c r="C20" i="9"/>
  <c r="B20" i="9"/>
  <c r="O19" i="9"/>
  <c r="J19" i="9"/>
  <c r="H19" i="9"/>
  <c r="E19" i="9"/>
  <c r="C19" i="9"/>
  <c r="B19" i="9"/>
  <c r="O18" i="9"/>
  <c r="J18" i="9"/>
  <c r="H18" i="9"/>
  <c r="E18" i="9"/>
  <c r="C18" i="9"/>
  <c r="B18" i="9"/>
  <c r="O17" i="9"/>
  <c r="J17" i="9"/>
  <c r="H17" i="9"/>
  <c r="E17" i="9"/>
  <c r="C17" i="9"/>
  <c r="B17" i="9"/>
  <c r="E3" i="9"/>
  <c r="F2" i="9"/>
  <c r="BA72" i="12"/>
  <c r="AR72" i="12"/>
  <c r="AI72" i="12"/>
  <c r="Z72" i="12"/>
  <c r="Q72" i="12"/>
  <c r="BA70" i="12"/>
  <c r="AR70" i="12"/>
  <c r="AI70" i="12"/>
  <c r="Z70" i="12"/>
  <c r="Q70" i="12"/>
  <c r="BA69" i="12"/>
  <c r="AR69" i="12"/>
  <c r="AI69" i="12"/>
  <c r="Z69" i="12"/>
  <c r="Q69" i="12"/>
  <c r="BA68" i="12"/>
  <c r="AR68" i="12"/>
  <c r="AI68" i="12"/>
  <c r="Z68" i="12"/>
  <c r="Q68" i="12"/>
  <c r="BA67" i="12"/>
  <c r="AR67" i="12"/>
  <c r="AI67" i="12"/>
  <c r="Z67" i="12"/>
  <c r="Q67" i="12"/>
  <c r="BA66" i="12"/>
  <c r="AR66" i="12"/>
  <c r="AI66" i="12"/>
  <c r="Z66" i="12"/>
  <c r="Q66" i="12"/>
  <c r="AR65" i="12"/>
  <c r="AI65" i="12"/>
  <c r="BA64" i="12"/>
  <c r="AR64" i="12"/>
  <c r="AI64" i="12"/>
  <c r="Z64" i="12"/>
  <c r="Q64" i="12"/>
  <c r="BC63" i="12"/>
  <c r="AT63" i="12"/>
  <c r="AK63" i="12"/>
  <c r="AB63" i="12"/>
  <c r="AS62" i="12"/>
  <c r="BA58" i="12"/>
  <c r="AR58" i="12"/>
  <c r="AI58" i="12"/>
  <c r="Z58" i="12"/>
  <c r="Q58" i="12"/>
  <c r="BA57" i="12"/>
  <c r="AR57" i="12"/>
  <c r="AI57" i="12"/>
  <c r="Z57" i="12"/>
  <c r="Q57" i="12"/>
  <c r="BA56" i="12"/>
  <c r="AR56" i="12"/>
  <c r="AI56" i="12"/>
  <c r="Z56" i="12"/>
  <c r="Q56" i="12"/>
  <c r="BA55" i="12"/>
  <c r="AR55" i="12"/>
  <c r="AI55" i="12"/>
  <c r="Z55" i="12"/>
  <c r="Q55" i="12"/>
  <c r="BA54" i="12"/>
  <c r="AR54" i="12"/>
  <c r="AI54" i="12"/>
  <c r="Z54" i="12"/>
  <c r="Q54" i="12"/>
  <c r="BA52" i="12"/>
  <c r="AR52" i="12"/>
  <c r="AI52" i="12"/>
  <c r="Z52" i="12"/>
  <c r="Q52" i="12"/>
  <c r="B6" i="65"/>
  <c r="C63" i="57"/>
  <c r="C61" i="57"/>
  <c r="C60" i="57"/>
  <c r="C59" i="57"/>
  <c r="C58" i="57"/>
  <c r="C57" i="57"/>
  <c r="D53" i="57"/>
  <c r="D52" i="57"/>
  <c r="D51" i="57"/>
  <c r="D50" i="57"/>
  <c r="D49" i="57"/>
  <c r="C49" i="57"/>
  <c r="D48" i="57"/>
  <c r="C48" i="57"/>
  <c r="D47" i="57"/>
  <c r="C47" i="57"/>
  <c r="D46" i="57"/>
  <c r="C46" i="57"/>
  <c r="D45" i="57"/>
  <c r="C45" i="57"/>
  <c r="G39" i="57" a="1"/>
  <c r="G39" i="57" s="1"/>
  <c r="G38" i="57"/>
  <c r="G37" i="57"/>
  <c r="D36" i="57" a="1"/>
  <c r="D36" i="57" s="1"/>
  <c r="D35" i="57"/>
  <c r="B26" i="57"/>
  <c r="E20" i="57"/>
  <c r="C20" i="57"/>
  <c r="E13" i="57"/>
  <c r="D27" i="57" s="1"/>
  <c r="E27" i="57" s="1"/>
  <c r="C12" i="57"/>
  <c r="E12" i="57" s="1"/>
  <c r="B12" i="57"/>
  <c r="D37" i="57" l="1"/>
  <c r="D38" i="57" s="1"/>
  <c r="C27" i="57"/>
  <c r="E14" i="57"/>
  <c r="E15" i="57"/>
  <c r="D26" i="57"/>
  <c r="E26" i="57" s="1"/>
  <c r="C26" i="57"/>
  <c r="D23" i="57"/>
  <c r="E23" i="57" s="1"/>
  <c r="D29" i="57" l="1"/>
  <c r="E29" i="57" s="1"/>
  <c r="C29" i="57"/>
  <c r="D28" i="57"/>
  <c r="E28" i="57" s="1"/>
  <c r="C28" i="5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tc={CFFFE33D-D9A7-45E8-969C-CCF64A6AC75B}</author>
    <author>tc={8D820658-3201-4F91-AB0C-6D134C7478BF}</author>
    <author>tc={1AD51354-7C46-4C16-9044-E4A4AAE83720}</author>
  </authors>
  <commentList>
    <comment ref="C12" authorId="0" shapeId="0" xr:uid="{CFFFE33D-D9A7-45E8-969C-CCF64A6AC75B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Indien ATV niet van toepassing is, wordt de juiste factor per fase gehanteerd. </t>
      </text>
    </comment>
    <comment ref="D35" authorId="1" shapeId="0" xr:uid="{8D820658-3201-4F91-AB0C-6D134C7478BF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Minimale werkgeverspremie pensioen.  Positieve afwijkingen per inlener zijn niet opgenomen in de calculatie.
Is er geen verschil tussen werkgeverspremie StiPP en de inlener? Dan is er geen pensioencompensatie van toepassing. </t>
      </text>
    </comment>
    <comment ref="C61" authorId="2" shapeId="0" xr:uid="{1AD51354-7C46-4C16-9044-E4A4AAE83720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Conform cao. Positieve afwijkingen per inlener zijn niet opgenomen in de calculatie.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<sst xmlns="http://schemas.openxmlformats.org/spreadsheetml/2006/main" count="647" uniqueCount="343">
  <si>
    <t>Stap 1: selecteer inlenende CAO</t>
  </si>
  <si>
    <t>Metaal &amp; Techniek</t>
  </si>
  <si>
    <t>Fase A</t>
  </si>
  <si>
    <t>Kostprijzen</t>
  </si>
  <si>
    <t>Factor</t>
  </si>
  <si>
    <t>Loon%</t>
  </si>
  <si>
    <t>Kostprijs</t>
  </si>
  <si>
    <t>Stap 5a: voer het juiste overwerkpercentage in</t>
  </si>
  <si>
    <t>Overwerk</t>
  </si>
  <si>
    <t>Stap 5b: voer het juiste toeslagpercentage in</t>
  </si>
  <si>
    <t>Toeslagen</t>
  </si>
  <si>
    <t>Stap 5c: voer het juiste toeslagpercentage in</t>
  </si>
  <si>
    <t>Toeslagen + vakantiegeld</t>
  </si>
  <si>
    <t>Stap 1: kies je gewenste marge berekening in € of %</t>
  </si>
  <si>
    <t>Marge in €</t>
  </si>
  <si>
    <t>Marge in %</t>
  </si>
  <si>
    <t>Tarief</t>
  </si>
  <si>
    <t>Verkoopfactor</t>
  </si>
  <si>
    <t>Urensoort</t>
  </si>
  <si>
    <t>Loon compensatie</t>
  </si>
  <si>
    <t>Omrekenfactoren per fase of uursoort</t>
  </si>
  <si>
    <t>Fase/contract</t>
  </si>
  <si>
    <t>Fase A overgangsregeling</t>
  </si>
  <si>
    <t xml:space="preserve">Fase B </t>
  </si>
  <si>
    <t>Fase C</t>
  </si>
  <si>
    <t>Fase A Deta</t>
  </si>
  <si>
    <t>Factor toeslagen</t>
  </si>
  <si>
    <t>Factor overwerk</t>
  </si>
  <si>
    <t>Factor pensioen</t>
  </si>
  <si>
    <t>Componenten van de cao</t>
  </si>
  <si>
    <t xml:space="preserve">Componenten </t>
  </si>
  <si>
    <t>Reserveringen</t>
  </si>
  <si>
    <t>Vakantiedagen</t>
  </si>
  <si>
    <t>Feestdagen doordeweeks</t>
  </si>
  <si>
    <t>ATV in factor</t>
  </si>
  <si>
    <t>Vakantiegeld</t>
  </si>
  <si>
    <t>Vakantiegeld overgangsregeling</t>
  </si>
  <si>
    <t>Ziekte</t>
  </si>
  <si>
    <t>CAO</t>
  </si>
  <si>
    <t>Feestdagen</t>
  </si>
  <si>
    <t>Werkbare dagen</t>
  </si>
  <si>
    <t>ATV</t>
  </si>
  <si>
    <t>% vakantiedagen</t>
  </si>
  <si>
    <t>% ATV</t>
  </si>
  <si>
    <t>% feestdagen</t>
  </si>
  <si>
    <t>LB</t>
  </si>
  <si>
    <t>WG-Pensioen</t>
  </si>
  <si>
    <t>Fase A overgangsregeling ATV in loon</t>
  </si>
  <si>
    <t>Fase A ATV in loon</t>
  </si>
  <si>
    <t>Fase B ATV in loon</t>
  </si>
  <si>
    <t>Fase C ATV in loon</t>
  </si>
  <si>
    <t>Fase A Deta ATV in loon</t>
  </si>
  <si>
    <t>Factor overuren</t>
  </si>
  <si>
    <t>Factor toeslag</t>
  </si>
  <si>
    <t>Algemeen</t>
  </si>
  <si>
    <t>Geen cao</t>
  </si>
  <si>
    <t>Vleessector</t>
  </si>
  <si>
    <t>Bouw &amp; Infra - bouwplaatsmedewerker</t>
  </si>
  <si>
    <t>Bouw &amp; Infra - UTA</t>
  </si>
  <si>
    <t>Metalektro</t>
  </si>
  <si>
    <t>Beroepsgoederenvervoer</t>
  </si>
  <si>
    <t>Technische Groothandel</t>
  </si>
  <si>
    <t>Foodservice en de Groothandel in levensmiddelen</t>
  </si>
  <si>
    <t>Schoonmaak</t>
  </si>
  <si>
    <t>Schilders-, Afwerkings- &amp; Glaszet</t>
  </si>
  <si>
    <t>Timmerindustrie</t>
  </si>
  <si>
    <t>Hoveniersbedrijf</t>
  </si>
  <si>
    <t>Glastuinbouw</t>
  </si>
  <si>
    <t>Groen, Grond &amp; Infra</t>
  </si>
  <si>
    <t>Retail Non Food</t>
  </si>
  <si>
    <t>Open Teelten</t>
  </si>
  <si>
    <t>Betonproductenindustrie</t>
  </si>
  <si>
    <t>Afbouw</t>
  </si>
  <si>
    <t>Houtverwerkende industrie</t>
  </si>
  <si>
    <t>Horeca</t>
  </si>
  <si>
    <t>Orsima</t>
  </si>
  <si>
    <t>Textielverzorging</t>
  </si>
  <si>
    <t>VVT</t>
  </si>
  <si>
    <t>Interieurbouw &amp; Meubelindustrie</t>
  </si>
  <si>
    <t>Kartonnage- en Flexibele verpakkingsbedrijf</t>
  </si>
  <si>
    <t>Mode-, interieur-, tapijt- en textielindustrie</t>
  </si>
  <si>
    <t>Groothandel in bouwmaterial</t>
  </si>
  <si>
    <t>Gemeenten</t>
  </si>
  <si>
    <t>Hellende daken</t>
  </si>
  <si>
    <t>Slagersbedrijf</t>
  </si>
  <si>
    <t>Bitumineuze en kunststof dakdekkingsbedrijven</t>
  </si>
  <si>
    <t>Motorvoertuigen en tweewielerbedrijf</t>
  </si>
  <si>
    <t>Grafimedia</t>
  </si>
  <si>
    <t>Groothandel in vlakglas</t>
  </si>
  <si>
    <t>Particuliere beveiliging</t>
  </si>
  <si>
    <t>Ziekenhuizen</t>
  </si>
  <si>
    <t>Houthandel</t>
  </si>
  <si>
    <t>Productiegerichte Dierhouderij</t>
  </si>
  <si>
    <t>Kinderopvang</t>
  </si>
  <si>
    <t>Evenementen- en horecabeveiliging branche</t>
  </si>
  <si>
    <t>Bakkersbedrijf</t>
  </si>
  <si>
    <t>Gehandicaptenzorg</t>
  </si>
  <si>
    <t>M&amp;T</t>
  </si>
  <si>
    <t>Beroepsgoederen</t>
  </si>
  <si>
    <t>Technische groothandel</t>
  </si>
  <si>
    <t>Berekeningsmethode 1</t>
  </si>
  <si>
    <t>PMT</t>
  </si>
  <si>
    <t>WG</t>
  </si>
  <si>
    <t>WN</t>
  </si>
  <si>
    <t>METAL</t>
  </si>
  <si>
    <t>Technische</t>
  </si>
  <si>
    <t>Pensioenwerkgeversdeel M&amp;T</t>
  </si>
  <si>
    <t>??</t>
  </si>
  <si>
    <t>SVLoon</t>
  </si>
  <si>
    <t>Franchise</t>
  </si>
  <si>
    <t>Pensioeggrondslag</t>
  </si>
  <si>
    <t>Verschil</t>
  </si>
  <si>
    <t>Compensatie</t>
  </si>
  <si>
    <t>Correctiefactor</t>
  </si>
  <si>
    <t>KP</t>
  </si>
  <si>
    <t>Berekeningsmethode 2</t>
  </si>
  <si>
    <t>NBBU</t>
  </si>
  <si>
    <t>Feestdag</t>
  </si>
  <si>
    <t>Datum 2026</t>
  </si>
  <si>
    <t>Dag van de week</t>
  </si>
  <si>
    <t>Nieuwjaarsdag</t>
  </si>
  <si>
    <t>Donderdag</t>
  </si>
  <si>
    <t>Goede Vrijdag</t>
  </si>
  <si>
    <t>Vrijdag</t>
  </si>
  <si>
    <t>1e Paasdag</t>
  </si>
  <si>
    <t>Zondag</t>
  </si>
  <si>
    <t>2e Paasdag</t>
  </si>
  <si>
    <t>Maandag</t>
  </si>
  <si>
    <t>Koningsdag</t>
  </si>
  <si>
    <t>Hemelvaartsdag</t>
  </si>
  <si>
    <t>1e Pinksterdag</t>
  </si>
  <si>
    <t>2e Pinksterdag</t>
  </si>
  <si>
    <t>1e Kerstdag</t>
  </si>
  <si>
    <t>2e Kerstdag</t>
  </si>
  <si>
    <t>Zaterdag</t>
  </si>
  <si>
    <t>ET-regeling</t>
  </si>
  <si>
    <t>WML</t>
  </si>
  <si>
    <t>Uren per week</t>
  </si>
  <si>
    <t xml:space="preserve">Huisvesting </t>
  </si>
  <si>
    <t>Veranderingen tov 2025</t>
  </si>
  <si>
    <t xml:space="preserve">Door de stijging van het WML: Vanaf 19,- euro per uur op basis van een 40-urige cao is de ET-regeling 200,-. In 2026 heb je pas bij 19,30 het maximale ET. Indien medewerkers in loon niet stijgen hebben medewerkers met een bruto uurloon van 19,- ongeveer 12,- minder ET-uitruil. </t>
  </si>
  <si>
    <t>In plaats van COLA worden 2 van andere 3 componenten gebruikt: huisvesting en reiskosten. Wij hebben in de onderstaande tabbellen de bedragen weergegeven</t>
  </si>
  <si>
    <t xml:space="preserve">Uitzendkrachten uit Tsjechie hebben bij lonen hoger dan 19,30 ongeveer 6,5 te weinig reiskosten om maximaal ET te behalen </t>
  </si>
  <si>
    <t>ADV reserveren en direct uitbetalen als je kan uitruilen</t>
  </si>
  <si>
    <t>Lonen</t>
  </si>
  <si>
    <t>ET ruimte loon</t>
  </si>
  <si>
    <t>ET bovenwettelijk verlof</t>
  </si>
  <si>
    <t>Extra componenten</t>
  </si>
  <si>
    <t>Totaal ET</t>
  </si>
  <si>
    <t>Verwachting ET</t>
  </si>
  <si>
    <t>COLA</t>
  </si>
  <si>
    <t>Huisvesting</t>
  </si>
  <si>
    <t>Reiskosten*</t>
  </si>
  <si>
    <t>Totaal</t>
  </si>
  <si>
    <t>Normale werkweek</t>
  </si>
  <si>
    <t>*Hoeveelheid reiskosten is afhankelijk van het land herkomst</t>
  </si>
  <si>
    <t>Reiskosten gebaseerd op 1 x per 6 weken naar huis of max €200,- ET inclusief HV</t>
  </si>
  <si>
    <t>Land</t>
  </si>
  <si>
    <t>Reiskosten per week</t>
  </si>
  <si>
    <t>Albanie</t>
  </si>
  <si>
    <t>Bosnie</t>
  </si>
  <si>
    <t>Bulgarije</t>
  </si>
  <si>
    <t>Duitsland</t>
  </si>
  <si>
    <t>Alleen obv werkelijke te onderbouwen kosten en geen grensarbeiders</t>
  </si>
  <si>
    <t>Griekenland</t>
  </si>
  <si>
    <t xml:space="preserve">Athene (gebaseerd op eens per 8 weken) </t>
  </si>
  <si>
    <t>Hongarije</t>
  </si>
  <si>
    <t>Boedapest</t>
  </si>
  <si>
    <t>Italie</t>
  </si>
  <si>
    <t>Milaan</t>
  </si>
  <si>
    <t>Kroatie</t>
  </si>
  <si>
    <t>Zagreb</t>
  </si>
  <si>
    <t>Litouwen</t>
  </si>
  <si>
    <t>Kaunas</t>
  </si>
  <si>
    <t>Macedonie</t>
  </si>
  <si>
    <t>Montenegro</t>
  </si>
  <si>
    <t>Poland</t>
  </si>
  <si>
    <t>lozdz</t>
  </si>
  <si>
    <t>Portugal</t>
  </si>
  <si>
    <t>Lissabon</t>
  </si>
  <si>
    <t>Roemenie</t>
  </si>
  <si>
    <t>Brasov</t>
  </si>
  <si>
    <t>Servie</t>
  </si>
  <si>
    <t>Belgrado</t>
  </si>
  <si>
    <t>Slovenie</t>
  </si>
  <si>
    <t>Ljubljana</t>
  </si>
  <si>
    <t>Slowakije</t>
  </si>
  <si>
    <t>Bratislava</t>
  </si>
  <si>
    <t>Spanje</t>
  </si>
  <si>
    <t>Madrid</t>
  </si>
  <si>
    <t>Tsjechie</t>
  </si>
  <si>
    <t>Bij 20,- loon 6,5 tekort aan reiskosten voor maximaal ET</t>
  </si>
  <si>
    <t>38.883 euro per jaar</t>
  </si>
  <si>
    <t>Zonder zorgverzekering</t>
  </si>
  <si>
    <t>BASIS</t>
  </si>
  <si>
    <t>40 uur</t>
  </si>
  <si>
    <t>Nettoloon 2025</t>
  </si>
  <si>
    <t>Nettoloon 2026</t>
  </si>
  <si>
    <t>Pensioen inhouding 2026</t>
  </si>
  <si>
    <t>Verschil loon per week</t>
  </si>
  <si>
    <t>Concept kostprijzen</t>
  </si>
  <si>
    <t xml:space="preserve">Verschil </t>
  </si>
  <si>
    <t>?</t>
  </si>
  <si>
    <t>Fase</t>
  </si>
  <si>
    <t>2026 met overgangsregeling</t>
  </si>
  <si>
    <t xml:space="preserve">2025 vs 2026 in percentages </t>
  </si>
  <si>
    <t>Fase A zonder pensioen</t>
  </si>
  <si>
    <t>Fase B</t>
  </si>
  <si>
    <t>2026 in dienst na 28-12-2025</t>
  </si>
  <si>
    <t>DETA LB</t>
  </si>
  <si>
    <t>Loondoorbetaling tijdens dienstverband</t>
  </si>
  <si>
    <t>In omrekenfactor</t>
  </si>
  <si>
    <t>Voorbeeld cao</t>
  </si>
  <si>
    <t>Schoonmaak cao</t>
  </si>
  <si>
    <t>Bouw &amp; Infra, M&amp;T, Metalektro</t>
  </si>
  <si>
    <t>= nog niet gevuld in de CAO-beloning</t>
  </si>
  <si>
    <t>0,385 = st</t>
  </si>
  <si>
    <t>Cao - Atv dagen in loon</t>
  </si>
  <si>
    <t>WG-Pensioen CAO</t>
  </si>
  <si>
    <t>Pensioencompensatie</t>
  </si>
  <si>
    <t>Waardeverlofdag</t>
  </si>
  <si>
    <t>VKG</t>
  </si>
  <si>
    <t>Geen cao (overgangsperiode)</t>
  </si>
  <si>
    <t>Metaal &amp; Techniek ATV IN LOON</t>
  </si>
  <si>
    <t>Vleessector (overgangsperiode)</t>
  </si>
  <si>
    <t>Bouw &amp; Infra - bouwplaatsmedewerker ATV IN LOON</t>
  </si>
  <si>
    <t>Bouw &amp; Infra - UTA ATV IN LOON</t>
  </si>
  <si>
    <t>Metalektro ATV IN LOON</t>
  </si>
  <si>
    <t>Beroepsgoederenvervoer (overgangsperiode)</t>
  </si>
  <si>
    <t>Beroepsgoederenvervoer (overgangsperiode) ATV IN LOON</t>
  </si>
  <si>
    <t>Beroepsgoederenvervoer ATV IN LOON</t>
  </si>
  <si>
    <t>NB</t>
  </si>
  <si>
    <t>Schilders-, Afwerkings- &amp; Glaszet ATV IN LOON</t>
  </si>
  <si>
    <t>Groen, Grond &amp; Infra ATV IN LOON</t>
  </si>
  <si>
    <t>Retail Non Food (overgangsperiode)</t>
  </si>
  <si>
    <t>Betonproductenindustrie ATV IN LOON</t>
  </si>
  <si>
    <t>Afbouw ATV IN LOON</t>
  </si>
  <si>
    <t>Houtverwerkende industrie ATV IN LOON</t>
  </si>
  <si>
    <t>Orsima (overgangsperiode)</t>
  </si>
  <si>
    <t>Orsima ATV IN LOON (overgangsperiode</t>
  </si>
  <si>
    <t>Orsima ATV IN LOON</t>
  </si>
  <si>
    <t>Interieurbouw &amp; Meubelindustrie (overgangsperiode)</t>
  </si>
  <si>
    <t>Interieurbouw &amp; Meubelindustrie ATV IN LOON (overgangsperiode)</t>
  </si>
  <si>
    <t xml:space="preserve">Interieurbouw &amp; Meubelindustrie ATV IN LOON </t>
  </si>
  <si>
    <t>Groothandel in bouwmaterial ATV IN LOON</t>
  </si>
  <si>
    <t>Hellende daken (overgangsperiode)</t>
  </si>
  <si>
    <t>Hellende daken ATV IN LOON (overgangsperiode)</t>
  </si>
  <si>
    <t>Hellende daken ATV IN LOON</t>
  </si>
  <si>
    <t>Bitumineuze en kunststof dakdekkingsbedrijven ATV IN LOON</t>
  </si>
  <si>
    <t>Motorvoertuigen en tweewielerbedrijf (overgangsperiode)</t>
  </si>
  <si>
    <t>Motorvoertuigen en tweewielerbedrijf (overgangsperiode) ATV IN LOON</t>
  </si>
  <si>
    <t>Motorvoertuigen en tweewielerbedrijf ATV IN LOON</t>
  </si>
  <si>
    <t>Particuliere beveiliging (overgangsperiode)</t>
  </si>
  <si>
    <t>Houthandel (overgangsperiode)</t>
  </si>
  <si>
    <t>Houthandel ATV IN LOON (overgangsperiode)</t>
  </si>
  <si>
    <t>Houthandel ATV IN LOON</t>
  </si>
  <si>
    <t>Evenementen- en horecabeveiliging branche (overgangsperiode)</t>
  </si>
  <si>
    <t>Radial (overgangsperiode) - 40 uur</t>
  </si>
  <si>
    <t>Radial - 40 uur</t>
  </si>
  <si>
    <t>Bidfood</t>
  </si>
  <si>
    <t>Fase / contract</t>
  </si>
  <si>
    <t>Afhankelijk van inlener/cao</t>
  </si>
  <si>
    <t>Zvf (zorgverzekeringswet)</t>
  </si>
  <si>
    <t>Awf (WW werkgeversaandeel)</t>
  </si>
  <si>
    <t>Aof (WAO, WGA, IVA, kinderopvang)</t>
  </si>
  <si>
    <t>Pensioen</t>
  </si>
  <si>
    <t>LB (tijdens dienstverband)</t>
  </si>
  <si>
    <t>Afhankelijk van ziekte bij inlener</t>
  </si>
  <si>
    <t>Whk - WGA</t>
  </si>
  <si>
    <t>Scholing</t>
  </si>
  <si>
    <t>Geen verplichting in de factor</t>
  </si>
  <si>
    <t>PAWW</t>
  </si>
  <si>
    <t>Administratiekosten</t>
  </si>
  <si>
    <t>Pensioen STIPP</t>
  </si>
  <si>
    <t xml:space="preserve">Franchise </t>
  </si>
  <si>
    <t>Stijging %</t>
  </si>
  <si>
    <t>Pensioen BPF</t>
  </si>
  <si>
    <t>Bouw en Infra Bouwplaats WG-deel</t>
  </si>
  <si>
    <t>Arbeidsongeschiktheid</t>
  </si>
  <si>
    <t>Bouw en Infra UTA WG-deel</t>
  </si>
  <si>
    <t>2026 overgangsperiode</t>
  </si>
  <si>
    <t>2026 Fase B</t>
  </si>
  <si>
    <t>2026 Fase C</t>
  </si>
  <si>
    <t>2026 DETA</t>
  </si>
  <si>
    <t>Bruto uurloon</t>
  </si>
  <si>
    <t>Wachtdagcompensatie</t>
  </si>
  <si>
    <t>Vakantiedagen (25)</t>
  </si>
  <si>
    <t>ATV (0)</t>
  </si>
  <si>
    <t>Kort verzuim</t>
  </si>
  <si>
    <t>Vakantiebijslag</t>
  </si>
  <si>
    <t>Werkgeverslasten</t>
  </si>
  <si>
    <t>Zvw (zorgverzekeringswet)</t>
  </si>
  <si>
    <t>Pensioen (na aftrek franchise)</t>
  </si>
  <si>
    <t>LB (loondoorbetaling ziekte tijdens dienstverband)</t>
  </si>
  <si>
    <t>Whk - ZW flex</t>
  </si>
  <si>
    <t>ZW-A</t>
  </si>
  <si>
    <t>SFU</t>
  </si>
  <si>
    <t>Voorzieningen</t>
  </si>
  <si>
    <t>Debiteurenvoorziening</t>
  </si>
  <si>
    <t>Bruto omrekenfactor</t>
  </si>
  <si>
    <t>Pensioen factor</t>
  </si>
  <si>
    <t>Feestdagen (7)</t>
  </si>
  <si>
    <t>Banden en wielenbranche</t>
  </si>
  <si>
    <r>
      <t>B2</t>
    </r>
    <r>
      <rPr>
        <sz val="20"/>
        <color theme="1"/>
        <rFont val="Aptos Narrow"/>
        <family val="2"/>
        <scheme val="minor"/>
      </rPr>
      <t xml:space="preserve"> = Inkoopprijs (cost)</t>
    </r>
  </si>
  <si>
    <r>
      <t>B3</t>
    </r>
    <r>
      <rPr>
        <sz val="20"/>
        <color theme="1"/>
        <rFont val="Aptos Narrow"/>
        <family val="2"/>
        <scheme val="minor"/>
      </rPr>
      <t xml:space="preserve"> = Verkoopprijs (sales)</t>
    </r>
  </si>
  <si>
    <r>
      <t>B4</t>
    </r>
    <r>
      <rPr>
        <sz val="20"/>
        <color theme="1"/>
        <rFont val="Aptos Narrow"/>
        <family val="2"/>
        <scheme val="minor"/>
      </rPr>
      <t xml:space="preserve"> = Keuze: </t>
    </r>
    <r>
      <rPr>
        <sz val="20"/>
        <color theme="1"/>
        <rFont val="Arial Unicode MS"/>
        <family val="2"/>
      </rPr>
      <t>"€"</t>
    </r>
    <r>
      <rPr>
        <sz val="20"/>
        <color theme="1"/>
        <rFont val="Aptos Narrow"/>
        <family val="2"/>
        <scheme val="minor"/>
      </rPr>
      <t xml:space="preserve"> of </t>
    </r>
    <r>
      <rPr>
        <sz val="20"/>
        <color theme="1"/>
        <rFont val="Arial Unicode MS"/>
        <family val="2"/>
      </rPr>
      <t>"%"</t>
    </r>
    <r>
      <rPr>
        <sz val="20"/>
        <color theme="1"/>
        <rFont val="Aptos Narrow"/>
        <family val="2"/>
        <scheme val="minor"/>
      </rPr>
      <t xml:space="preserve"> (via dropdown)</t>
    </r>
  </si>
  <si>
    <t>€</t>
  </si>
  <si>
    <r>
      <t>B5</t>
    </r>
    <r>
      <rPr>
        <sz val="20"/>
        <color theme="1"/>
        <rFont val="Aptos Narrow"/>
        <family val="2"/>
        <scheme val="minor"/>
      </rPr>
      <t xml:space="preserve"> = Invoer marge-waarde (bedrag of percentage, afhankelijk van B4)</t>
    </r>
  </si>
  <si>
    <r>
      <t>B6</t>
    </r>
    <r>
      <rPr>
        <sz val="20"/>
        <color theme="1"/>
        <rFont val="Aptos Narrow"/>
        <family val="2"/>
        <scheme val="minor"/>
      </rPr>
      <t xml:space="preserve"> = Uitkomst (bijv. verkoopprijs of marge)</t>
    </r>
  </si>
  <si>
    <t>%</t>
  </si>
  <si>
    <t>Brutoloon</t>
  </si>
  <si>
    <t>SV loon (pensioengevend uurloon)</t>
  </si>
  <si>
    <t>Omrekenfactor atv in loon</t>
  </si>
  <si>
    <t>Correctiefactor pensioen over pensioen</t>
  </si>
  <si>
    <t>Direct OP BT OT</t>
  </si>
  <si>
    <t>Direct OP BT OT A DETA</t>
  </si>
  <si>
    <t>ZW 4%</t>
  </si>
  <si>
    <t>Verschil werkgeverspremie pensioen inlener</t>
  </si>
  <si>
    <t>Stap 3: noteer bruto uurloon</t>
  </si>
  <si>
    <t>Stap 4: bereken je kostprijzen per urensoort</t>
  </si>
  <si>
    <t>Fase A overgangsregeling - ATV in loon</t>
  </si>
  <si>
    <t>Fase A - ATV in loon</t>
  </si>
  <si>
    <t>Fase B - ATV in loon</t>
  </si>
  <si>
    <t>Fase C - ATV in loon</t>
  </si>
  <si>
    <t>Omrekenfactor</t>
  </si>
  <si>
    <t>Fase A - Deta ATV in loon</t>
  </si>
  <si>
    <t>Factor pensioencompensatie</t>
  </si>
  <si>
    <t>Stap 2: selecteer fase. Met of zonder ATV in loon</t>
  </si>
  <si>
    <t>Deel 1 Bereken je kostprijs</t>
  </si>
  <si>
    <t>Deel 2 Bereken je marge en verkooptarief</t>
  </si>
  <si>
    <t>Deel 3 Bereken de pensioencompensatie</t>
  </si>
  <si>
    <t>Deel 4 Informatieve gegevens</t>
  </si>
  <si>
    <t>Disclaimer: aan deze calculaties kunnen geen rechten worden ontleend.</t>
  </si>
  <si>
    <t>Fase A -</t>
  </si>
  <si>
    <t>Fase B -</t>
  </si>
  <si>
    <t>Fase C -</t>
  </si>
  <si>
    <t>Fase A Deta -</t>
  </si>
  <si>
    <t>Fase A overgangsregeling -</t>
  </si>
  <si>
    <t xml:space="preserve">De eerder geselecteerde fase/factor en uurloon wordt gehanteerd </t>
  </si>
  <si>
    <t>in de berekening voor pensioencompensatie</t>
  </si>
  <si>
    <t xml:space="preserve">Is de uitkomst een positief bedrag? Factureer dan de </t>
  </si>
  <si>
    <t>pensioencompensatie door aan jouw inlener of</t>
  </si>
  <si>
    <t>verdisconteer de kostprijs in jouw tarief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</si>
</sst>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€&quot;\ #,##0.00;[Red]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"/>
    <numFmt numFmtId="165" formatCode="0.000"/>
    <numFmt numFmtId="166" formatCode="&quot;€&quot;\ #,##0.00"/>
    <numFmt numFmtId="167" formatCode="_ &quot;€&quot;\ * #,##0.0000_ ;_ &quot;€&quot;\ * \-#,##0.0000_ ;_ &quot;€&quot;\ * &quot;-&quot;??_ ;_ @_ "/>
    <numFmt numFmtId="168" formatCode="0.0000%"/>
    <numFmt numFmtId="169" formatCode="0.0"/>
    <numFmt numFmtId="170" formatCode="0.000%"/>
    <numFmt numFmtId="171" formatCode="_(* #,##0_);_(* \(#,##0\);_(* &quot;-&quot;??_);_(@_)"/>
  </numFmts>
  <fonts count="2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indexed="8"/>
      <name val="Segoe UI Historic"/>
      <family val="2"/>
    </font>
    <font>
      <b/>
      <sz val="10"/>
      <color theme="0"/>
      <name val="Segoe UI Historic"/>
      <family val="2"/>
    </font>
    <font>
      <sz val="10"/>
      <color theme="1"/>
      <name val="Segoe UI Historic"/>
      <family val="2"/>
    </font>
    <font>
      <b/>
      <u/>
      <sz val="10"/>
      <color theme="1"/>
      <name val="Segoe UI Historic"/>
      <family val="2"/>
    </font>
    <font>
      <sz val="10"/>
      <color theme="0"/>
      <name val="Segoe UI Historic"/>
      <family val="2"/>
    </font>
    <font>
      <b/>
      <u/>
      <sz val="10"/>
      <color indexed="8"/>
      <name val="Segoe UI Historic"/>
      <family val="2"/>
    </font>
    <font>
      <b/>
      <sz val="14"/>
      <color theme="1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b/>
      <i/>
      <sz val="11"/>
      <color theme="1"/>
      <name val="Aptos"/>
      <family val="2"/>
    </font>
    <font>
      <sz val="11"/>
      <color theme="5"/>
      <name val="Aptos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color theme="1"/>
      <name val="Aptos"/>
      <family val="2"/>
    </font>
    <font>
      <b/>
      <sz val="11"/>
      <name val="Aptos"/>
      <family val="2"/>
    </font>
    <font>
      <sz val="11"/>
      <name val="Aptos"/>
      <family val="2"/>
    </font>
    <font>
      <sz val="20"/>
      <color theme="1"/>
      <name val="Arial Unicode MS"/>
      <family val="2"/>
    </font>
    <font>
      <sz val="11"/>
      <color theme="0"/>
      <name val="Aptos"/>
      <family val="2"/>
    </font>
    <font>
      <sz val="11"/>
      <color theme="1"/>
      <name val="Aptos"/>
    </font>
    <font>
      <sz val="11"/>
      <color theme="0"/>
      <name val="Aptos Narrow"/>
      <family val="2"/>
      <scheme val="minor"/>
    </font>
    <font>
      <b/>
      <sz val="11"/>
      <color theme="0"/>
      <name val="Aptos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B67A3"/>
        <bgColor theme="4"/>
      </patternFill>
    </fill>
    <fill>
      <patternFill patternType="solid">
        <fgColor rgb="FF0B67A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156082"/>
      </left>
      <right/>
      <top style="thin">
        <color rgb="FF156082"/>
      </top>
      <bottom/>
      <diagonal/>
    </border>
    <border>
      <left/>
      <right/>
      <top style="thin">
        <color rgb="FF156082"/>
      </top>
      <bottom/>
      <diagonal/>
    </border>
    <border>
      <left/>
      <right style="thin">
        <color rgb="FF156082"/>
      </right>
      <top style="thin">
        <color rgb="FF156082"/>
      </top>
      <bottom/>
      <diagonal/>
    </border>
    <border>
      <left style="thin">
        <color rgb="FF156082"/>
      </left>
      <right/>
      <top/>
      <bottom/>
      <diagonal/>
    </border>
    <border>
      <left/>
      <right style="thin">
        <color rgb="FF156082"/>
      </right>
      <top/>
      <bottom/>
      <diagonal/>
    </border>
    <border>
      <left style="thin">
        <color rgb="FF156082"/>
      </left>
      <right/>
      <top/>
      <bottom style="thin">
        <color rgb="FF156082"/>
      </bottom>
      <diagonal/>
    </border>
    <border>
      <left/>
      <right/>
      <top/>
      <bottom style="thin">
        <color rgb="FF156082"/>
      </bottom>
      <diagonal/>
    </border>
    <border>
      <left/>
      <right style="thin">
        <color rgb="FF156082"/>
      </right>
      <top/>
      <bottom style="thin">
        <color rgb="FF15608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140">
    <xf numFmtId="0" fontId="0" fillId="0" borderId="0" xfId="0"/>
    <xf numFmtId="164" fontId="3" fillId="0" borderId="0" xfId="0" applyNumberFormat="1" applyFont="1"/>
    <xf numFmtId="164" fontId="0" fillId="0" borderId="0" xfId="0" applyNumberFormat="1"/>
    <xf numFmtId="10" fontId="0" fillId="0" borderId="0" xfId="2" applyNumberFormat="1" applyFont="1"/>
    <xf numFmtId="164" fontId="4" fillId="0" borderId="0" xfId="0" applyNumberFormat="1" applyFont="1"/>
    <xf numFmtId="0" fontId="3" fillId="0" borderId="0" xfId="0" applyFont="1"/>
    <xf numFmtId="166" fontId="0" fillId="0" borderId="0" xfId="0" applyNumberFormat="1"/>
    <xf numFmtId="166" fontId="0" fillId="0" borderId="0" xfId="1" applyNumberFormat="1" applyFont="1"/>
    <xf numFmtId="0" fontId="6" fillId="0" borderId="0" xfId="0" applyFont="1"/>
    <xf numFmtId="0" fontId="7" fillId="0" borderId="0" xfId="0" applyFont="1"/>
    <xf numFmtId="2" fontId="8" fillId="0" borderId="0" xfId="0" applyNumberFormat="1" applyFont="1"/>
    <xf numFmtId="2" fontId="6" fillId="0" borderId="0" xfId="0" applyNumberFormat="1" applyFont="1"/>
    <xf numFmtId="2" fontId="6" fillId="0" borderId="1" xfId="3" applyNumberFormat="1" applyFont="1" applyFill="1" applyBorder="1"/>
    <xf numFmtId="0" fontId="9" fillId="0" borderId="0" xfId="0" applyFont="1" applyAlignment="1">
      <alignment horizontal="left"/>
    </xf>
    <xf numFmtId="2" fontId="6" fillId="0" borderId="1" xfId="0" applyNumberFormat="1" applyFont="1" applyBorder="1"/>
    <xf numFmtId="165" fontId="6" fillId="0" borderId="0" xfId="0" applyNumberFormat="1" applyFont="1"/>
    <xf numFmtId="2" fontId="6" fillId="0" borderId="0" xfId="3" applyNumberFormat="1" applyFont="1" applyFill="1"/>
    <xf numFmtId="2" fontId="6" fillId="0" borderId="2" xfId="0" applyNumberFormat="1" applyFont="1" applyBorder="1"/>
    <xf numFmtId="2" fontId="6" fillId="4" borderId="0" xfId="0" applyNumberFormat="1" applyFont="1" applyFill="1"/>
    <xf numFmtId="2" fontId="6" fillId="5" borderId="0" xfId="0" applyNumberFormat="1" applyFont="1" applyFill="1"/>
    <xf numFmtId="2" fontId="6" fillId="5" borderId="0" xfId="3" applyNumberFormat="1" applyFont="1" applyFill="1"/>
    <xf numFmtId="0" fontId="5" fillId="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9" fontId="0" fillId="0" borderId="0" xfId="0" applyNumberFormat="1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5" fontId="0" fillId="0" borderId="0" xfId="0" applyNumberFormat="1" applyAlignment="1">
      <alignment vertical="center"/>
    </xf>
    <xf numFmtId="164" fontId="6" fillId="0" borderId="0" xfId="0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4" fontId="0" fillId="0" borderId="0" xfId="1" applyFont="1"/>
    <xf numFmtId="8" fontId="0" fillId="0" borderId="0" xfId="0" applyNumberFormat="1"/>
    <xf numFmtId="44" fontId="0" fillId="0" borderId="0" xfId="0" applyNumberFormat="1"/>
    <xf numFmtId="9" fontId="0" fillId="0" borderId="0" xfId="0" applyNumberFormat="1"/>
    <xf numFmtId="44" fontId="0" fillId="0" borderId="0" xfId="1" applyFont="1" applyAlignment="1">
      <alignment horizontal="left"/>
    </xf>
    <xf numFmtId="10" fontId="0" fillId="0" borderId="0" xfId="0" applyNumberFormat="1"/>
    <xf numFmtId="44" fontId="0" fillId="6" borderId="0" xfId="0" applyNumberFormat="1" applyFill="1"/>
    <xf numFmtId="0" fontId="0" fillId="6" borderId="0" xfId="0" applyFill="1"/>
    <xf numFmtId="9" fontId="0" fillId="0" borderId="0" xfId="2" applyFont="1"/>
    <xf numFmtId="0" fontId="0" fillId="3" borderId="0" xfId="0" applyFill="1"/>
    <xf numFmtId="167" fontId="0" fillId="0" borderId="0" xfId="0" applyNumberFormat="1"/>
    <xf numFmtId="0" fontId="10" fillId="0" borderId="0" xfId="0" applyFont="1"/>
    <xf numFmtId="2" fontId="6" fillId="5" borderId="1" xfId="0" applyNumberFormat="1" applyFont="1" applyFill="1" applyBorder="1"/>
    <xf numFmtId="1" fontId="0" fillId="0" borderId="0" xfId="0" applyNumberFormat="1"/>
    <xf numFmtId="10" fontId="0" fillId="6" borderId="0" xfId="2" applyNumberFormat="1" applyFont="1" applyFill="1"/>
    <xf numFmtId="0" fontId="11" fillId="0" borderId="0" xfId="0" applyFont="1" applyAlignment="1">
      <alignment horizontal="center"/>
    </xf>
    <xf numFmtId="0" fontId="0" fillId="7" borderId="0" xfId="0" applyFill="1"/>
    <xf numFmtId="10" fontId="0" fillId="0" borderId="0" xfId="2" applyNumberFormat="1" applyFont="1" applyFill="1"/>
    <xf numFmtId="165" fontId="0" fillId="0" borderId="0" xfId="0" applyNumberFormat="1"/>
    <xf numFmtId="169" fontId="0" fillId="0" borderId="0" xfId="0" applyNumberFormat="1"/>
    <xf numFmtId="10" fontId="12" fillId="0" borderId="0" xfId="2" applyNumberFormat="1" applyFont="1" applyFill="1"/>
    <xf numFmtId="0" fontId="12" fillId="0" borderId="0" xfId="0" applyFont="1"/>
    <xf numFmtId="0" fontId="11" fillId="0" borderId="0" xfId="0" applyFont="1"/>
    <xf numFmtId="0" fontId="0" fillId="0" borderId="0" xfId="0" quotePrefix="1"/>
    <xf numFmtId="168" fontId="0" fillId="0" borderId="0" xfId="2" applyNumberFormat="1" applyFont="1"/>
    <xf numFmtId="10" fontId="12" fillId="0" borderId="0" xfId="2" applyNumberFormat="1" applyFont="1"/>
    <xf numFmtId="1" fontId="12" fillId="0" borderId="0" xfId="0" applyNumberFormat="1" applyFont="1"/>
    <xf numFmtId="9" fontId="0" fillId="0" borderId="0" xfId="2" applyFont="1" applyFill="1"/>
    <xf numFmtId="170" fontId="0" fillId="0" borderId="0" xfId="2" applyNumberFormat="1" applyFont="1"/>
    <xf numFmtId="10" fontId="0" fillId="7" borderId="0" xfId="2" applyNumberFormat="1" applyFont="1" applyFill="1"/>
    <xf numFmtId="4" fontId="13" fillId="5" borderId="6" xfId="0" applyNumberFormat="1" applyFont="1" applyFill="1" applyBorder="1" applyAlignment="1" applyProtection="1">
      <alignment horizontal="center"/>
      <protection locked="0"/>
    </xf>
    <xf numFmtId="0" fontId="18" fillId="0" borderId="0" xfId="0" applyFont="1"/>
    <xf numFmtId="0" fontId="19" fillId="0" borderId="0" xfId="0" applyFont="1"/>
    <xf numFmtId="0" fontId="3" fillId="6" borderId="0" xfId="0" applyFont="1" applyFill="1"/>
    <xf numFmtId="164" fontId="0" fillId="9" borderId="0" xfId="0" applyNumberFormat="1" applyFill="1"/>
    <xf numFmtId="0" fontId="3" fillId="10" borderId="0" xfId="0" applyFont="1" applyFill="1"/>
    <xf numFmtId="164" fontId="0" fillId="10" borderId="0" xfId="0" applyNumberFormat="1" applyFill="1"/>
    <xf numFmtId="9" fontId="13" fillId="5" borderId="0" xfId="0" applyNumberFormat="1" applyFont="1" applyFill="1" applyProtection="1">
      <protection locked="0"/>
    </xf>
    <xf numFmtId="9" fontId="13" fillId="5" borderId="13" xfId="0" applyNumberFormat="1" applyFont="1" applyFill="1" applyBorder="1" applyProtection="1">
      <protection locked="0"/>
    </xf>
    <xf numFmtId="43" fontId="0" fillId="10" borderId="0" xfId="4" applyFont="1" applyFill="1"/>
    <xf numFmtId="1" fontId="0" fillId="6" borderId="0" xfId="0" applyNumberFormat="1" applyFill="1"/>
    <xf numFmtId="0" fontId="0" fillId="11" borderId="0" xfId="0" applyFill="1"/>
    <xf numFmtId="0" fontId="0" fillId="11" borderId="0" xfId="2" applyNumberFormat="1" applyFont="1" applyFill="1"/>
    <xf numFmtId="0" fontId="12" fillId="6" borderId="0" xfId="0" applyFont="1" applyFill="1"/>
    <xf numFmtId="4" fontId="13" fillId="5" borderId="3" xfId="0" applyNumberFormat="1" applyFont="1" applyFill="1" applyBorder="1" applyAlignment="1" applyProtection="1">
      <alignment horizontal="center"/>
      <protection locked="0"/>
    </xf>
    <xf numFmtId="4" fontId="13" fillId="5" borderId="4" xfId="0" applyNumberFormat="1" applyFont="1" applyFill="1" applyBorder="1" applyAlignment="1" applyProtection="1">
      <alignment horizontal="center"/>
      <protection locked="0"/>
    </xf>
    <xf numFmtId="4" fontId="13" fillId="5" borderId="5" xfId="0" applyNumberFormat="1" applyFont="1" applyFill="1" applyBorder="1" applyAlignment="1" applyProtection="1">
      <alignment horizontal="center"/>
      <protection locked="0"/>
    </xf>
    <xf numFmtId="166" fontId="13" fillId="5" borderId="3" xfId="1" applyNumberFormat="1" applyFont="1" applyFill="1" applyBorder="1" applyAlignment="1" applyProtection="1">
      <alignment horizontal="center"/>
      <protection locked="0"/>
    </xf>
    <xf numFmtId="166" fontId="13" fillId="5" borderId="4" xfId="1" applyNumberFormat="1" applyFont="1" applyFill="1" applyBorder="1" applyAlignment="1" applyProtection="1">
      <alignment horizontal="center"/>
      <protection locked="0"/>
    </xf>
    <xf numFmtId="166" fontId="13" fillId="5" borderId="5" xfId="1" applyNumberFormat="1" applyFont="1" applyFill="1" applyBorder="1" applyAlignment="1" applyProtection="1">
      <alignment horizontal="center"/>
      <protection locked="0"/>
    </xf>
    <xf numFmtId="0" fontId="5" fillId="3" borderId="0" xfId="0" applyFont="1" applyFill="1" applyAlignment="1">
      <alignment horizontal="center"/>
    </xf>
    <xf numFmtId="0" fontId="27" fillId="12" borderId="0" xfId="0" applyFont="1" applyFill="1" applyProtection="1"/>
    <xf numFmtId="0" fontId="13" fillId="0" borderId="0" xfId="0" applyFont="1" applyProtection="1"/>
    <xf numFmtId="0" fontId="0" fillId="0" borderId="0" xfId="0" applyProtection="1"/>
    <xf numFmtId="0" fontId="14" fillId="12" borderId="0" xfId="0" applyFont="1" applyFill="1" applyProtection="1"/>
    <xf numFmtId="0" fontId="15" fillId="0" borderId="0" xfId="0" applyFont="1" applyProtection="1"/>
    <xf numFmtId="0" fontId="13" fillId="8" borderId="0" xfId="0" applyFont="1" applyFill="1" applyAlignment="1" applyProtection="1">
      <alignment horizontal="center"/>
    </xf>
    <xf numFmtId="0" fontId="14" fillId="12" borderId="7" xfId="0" applyFont="1" applyFill="1" applyBorder="1" applyProtection="1"/>
    <xf numFmtId="0" fontId="14" fillId="12" borderId="8" xfId="0" applyFont="1" applyFill="1" applyBorder="1" applyProtection="1"/>
    <xf numFmtId="0" fontId="14" fillId="12" borderId="9" xfId="0" applyFont="1" applyFill="1" applyBorder="1" applyProtection="1"/>
    <xf numFmtId="0" fontId="15" fillId="0" borderId="10" xfId="0" applyFont="1" applyBorder="1" applyProtection="1"/>
    <xf numFmtId="164" fontId="13" fillId="0" borderId="0" xfId="0" applyNumberFormat="1" applyFont="1" applyProtection="1"/>
    <xf numFmtId="9" fontId="13" fillId="0" borderId="0" xfId="0" applyNumberFormat="1" applyFont="1" applyProtection="1"/>
    <xf numFmtId="166" fontId="13" fillId="0" borderId="11" xfId="0" applyNumberFormat="1" applyFont="1" applyBorder="1" applyProtection="1"/>
    <xf numFmtId="0" fontId="15" fillId="0" borderId="12" xfId="0" applyFont="1" applyBorder="1" applyProtection="1"/>
    <xf numFmtId="0" fontId="13" fillId="0" borderId="13" xfId="0" applyFont="1" applyBorder="1" applyProtection="1"/>
    <xf numFmtId="166" fontId="13" fillId="0" borderId="14" xfId="0" applyNumberFormat="1" applyFont="1" applyBorder="1" applyProtection="1"/>
    <xf numFmtId="0" fontId="0" fillId="0" borderId="8" xfId="0" applyBorder="1" applyAlignment="1" applyProtection="1">
      <alignment horizontal="center"/>
    </xf>
    <xf numFmtId="166" fontId="13" fillId="0" borderId="0" xfId="0" applyNumberFormat="1" applyFont="1" applyProtection="1"/>
    <xf numFmtId="171" fontId="13" fillId="0" borderId="0" xfId="4" applyNumberFormat="1" applyFont="1" applyAlignment="1" applyProtection="1">
      <alignment horizontal="right" vertical="center"/>
    </xf>
    <xf numFmtId="171" fontId="13" fillId="0" borderId="0" xfId="4" applyNumberFormat="1" applyFont="1" applyAlignment="1" applyProtection="1">
      <alignment vertical="center"/>
    </xf>
    <xf numFmtId="0" fontId="21" fillId="0" borderId="0" xfId="0" applyFont="1" applyProtection="1"/>
    <xf numFmtId="0" fontId="22" fillId="0" borderId="0" xfId="0" applyFont="1" applyProtection="1"/>
    <xf numFmtId="0" fontId="14" fillId="0" borderId="0" xfId="0" applyFont="1" applyProtection="1"/>
    <xf numFmtId="0" fontId="24" fillId="0" borderId="0" xfId="0" applyFont="1" applyProtection="1"/>
    <xf numFmtId="9" fontId="24" fillId="0" borderId="0" xfId="2" applyFont="1" applyBorder="1" applyProtection="1"/>
    <xf numFmtId="0" fontId="13" fillId="0" borderId="10" xfId="0" applyFont="1" applyBorder="1" applyProtection="1"/>
    <xf numFmtId="164" fontId="13" fillId="0" borderId="11" xfId="0" applyNumberFormat="1" applyFont="1" applyBorder="1" applyProtection="1"/>
    <xf numFmtId="0" fontId="13" fillId="0" borderId="12" xfId="0" applyFont="1" applyBorder="1" applyProtection="1"/>
    <xf numFmtId="166" fontId="13" fillId="0" borderId="13" xfId="0" applyNumberFormat="1" applyFont="1" applyBorder="1" applyProtection="1"/>
    <xf numFmtId="164" fontId="13" fillId="0" borderId="14" xfId="0" applyNumberFormat="1" applyFont="1" applyBorder="1" applyProtection="1"/>
    <xf numFmtId="2" fontId="13" fillId="0" borderId="0" xfId="0" applyNumberFormat="1" applyFont="1" applyProtection="1"/>
    <xf numFmtId="0" fontId="3" fillId="0" borderId="0" xfId="0" applyFont="1" applyProtection="1"/>
    <xf numFmtId="0" fontId="13" fillId="0" borderId="7" xfId="0" applyFont="1" applyBorder="1" applyProtection="1"/>
    <xf numFmtId="0" fontId="13" fillId="0" borderId="8" xfId="0" applyFont="1" applyBorder="1" applyProtection="1"/>
    <xf numFmtId="4" fontId="25" fillId="0" borderId="9" xfId="0" applyNumberFormat="1" applyFont="1" applyBorder="1" applyAlignment="1" applyProtection="1">
      <alignment horizontal="right"/>
    </xf>
    <xf numFmtId="44" fontId="0" fillId="0" borderId="0" xfId="1" applyFont="1" applyProtection="1"/>
    <xf numFmtId="0" fontId="26" fillId="0" borderId="0" xfId="0" applyFont="1" applyProtection="1"/>
    <xf numFmtId="44" fontId="13" fillId="0" borderId="0" xfId="1" applyFont="1" applyProtection="1"/>
    <xf numFmtId="166" fontId="13" fillId="0" borderId="11" xfId="0" applyNumberFormat="1" applyFont="1" applyBorder="1" applyAlignment="1" applyProtection="1">
      <alignment horizontal="right"/>
    </xf>
    <xf numFmtId="166" fontId="13" fillId="0" borderId="14" xfId="1" applyNumberFormat="1" applyFont="1" applyFill="1" applyBorder="1" applyAlignment="1" applyProtection="1">
      <alignment horizontal="right"/>
    </xf>
    <xf numFmtId="166" fontId="24" fillId="0" borderId="0" xfId="0" applyNumberFormat="1" applyFont="1" applyProtection="1"/>
    <xf numFmtId="0" fontId="0" fillId="0" borderId="0" xfId="0" applyBorder="1" applyAlignment="1" applyProtection="1"/>
    <xf numFmtId="0" fontId="16" fillId="0" borderId="0" xfId="0" applyFont="1" applyProtection="1"/>
    <xf numFmtId="0" fontId="15" fillId="13" borderId="0" xfId="0" applyFont="1" applyFill="1" applyProtection="1"/>
    <xf numFmtId="0" fontId="20" fillId="0" borderId="0" xfId="0" applyFont="1" applyProtection="1"/>
    <xf numFmtId="166" fontId="3" fillId="0" borderId="0" xfId="0" applyNumberFormat="1" applyFont="1" applyProtection="1"/>
    <xf numFmtId="164" fontId="13" fillId="0" borderId="0" xfId="0" applyNumberFormat="1" applyFont="1" applyAlignment="1" applyProtection="1">
      <alignment horizontal="left" indent="1"/>
    </xf>
    <xf numFmtId="44" fontId="13" fillId="0" borderId="0" xfId="0" applyNumberFormat="1" applyFont="1" applyProtection="1"/>
    <xf numFmtId="0" fontId="13" fillId="0" borderId="0" xfId="0" applyFont="1" applyAlignment="1" applyProtection="1">
      <alignment horizontal="left" indent="1"/>
    </xf>
    <xf numFmtId="0" fontId="13" fillId="13" borderId="0" xfId="0" applyFont="1" applyFill="1" applyProtection="1"/>
    <xf numFmtId="1" fontId="13" fillId="0" borderId="0" xfId="0" applyNumberFormat="1" applyFont="1" applyProtection="1"/>
    <xf numFmtId="0" fontId="17" fillId="0" borderId="0" xfId="0" applyFont="1" applyProtection="1"/>
    <xf numFmtId="10" fontId="13" fillId="0" borderId="0" xfId="2" applyNumberFormat="1" applyFont="1" applyProtection="1"/>
    <xf numFmtId="2" fontId="13" fillId="0" borderId="0" xfId="2" applyNumberFormat="1" applyFont="1" applyProtection="1"/>
    <xf numFmtId="0" fontId="0" fillId="0" borderId="0" xfId="0" applyAlignment="1" applyProtection="1">
      <alignment horizontal="center"/>
    </xf>
  </cellXfs>
  <cellStyles count="5">
    <cellStyle name="Goed" xfId="3" builtinId="26"/>
    <cellStyle name="Komma" xfId="4" builtinId="3"/>
    <cellStyle name="Procent" xfId="2" builtinId="5"/>
    <cellStyle name="Standaard" xfId="0" builtinId="0"/>
    <cellStyle name="Valuta" xfId="1" builtinId="4"/>
  </cellStyles>
  <dxfs count="9">
    <dxf>
      <font>
        <strike val="0"/>
        <outline val="0"/>
        <shadow val="0"/>
        <u val="none"/>
        <vertAlign val="baseline"/>
        <sz val="11"/>
        <name val="Aptos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fill>
        <patternFill patternType="solid">
          <fgColor indexed="64"/>
          <bgColor rgb="FF0B67A3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scheme val="none"/>
      </font>
      <fill>
        <patternFill patternType="solid">
          <fgColor indexed="64"/>
          <bgColor rgb="FF0B67A3"/>
        </patternFill>
      </fill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alignment horizontal="left" vertical="bottom" textRotation="0" wrapText="0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alignment horizontal="left" vertical="bottom" textRotation="0" wrapText="0" relative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Aptos"/>
        <scheme val="none"/>
      </font>
      <fill>
        <patternFill patternType="none">
          <fgColor indexed="64"/>
          <bgColor indexed="65"/>
        </patternFill>
      </fill>
      <protection locked="1" hidden="0"/>
    </dxf>
  </dxfs>
  <tableStyles count="0" defaultTableStyle="TableStyleMedium2" defaultPivotStyle="PivotStyleLight16"/>
  <colors>
    <mruColors>
      <color rgb="FF0B67A3"/>
      <color rgb="FF0B649E"/>
      <color rgb="FF1560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2081517</xdr:colOff>
      <xdr:row>0</xdr:row>
      <xdr:rowOff>0</xdr:rowOff>
    </xdr:from>
    <xdr:ext cx="2594517" cy="860612"/>
    <xdr:pic>
      <xdr:nvPicPr>
        <xdr:cNvPr id="18" name="Afbeelding 17">
          <a:extLst>
            <a:ext uri="{FF2B5EF4-FFF2-40B4-BE49-F238E27FC236}">
              <a16:creationId xmlns:a16="http://schemas.microsoft.com/office/drawing/2014/main" id="{0210BB70-D3E3-4CF5-8C25-486D239C4A3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5395"/>
        <a:stretch>
          <a:fillRect/>
        </a:stretch>
      </xdr:blipFill>
      <xdr:spPr bwMode="auto">
        <a:xfrm>
          <a:off x="10965541" y="0"/>
          <a:ext cx="2594517" cy="8606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98191</xdr:colOff>
      <xdr:row>45</xdr:row>
      <xdr:rowOff>98366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2E4A3B1-F0ED-7BFA-0662-DD590C23B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421011" cy="8678486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6</xdr:row>
      <xdr:rowOff>0</xdr:rowOff>
    </xdr:from>
    <xdr:to>
      <xdr:col>22</xdr:col>
      <xdr:colOff>19817</xdr:colOff>
      <xdr:row>46</xdr:row>
      <xdr:rowOff>77274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C1E4F13-917B-BB73-957F-3EBD87F73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24800" y="1143000"/>
          <a:ext cx="5496692" cy="7697274"/>
        </a:xfrm>
        <a:prstGeom prst="rect">
          <a:avLst/>
        </a:prstGeom>
      </xdr:spPr>
    </xdr:pic>
    <xdr:clientData/>
  </xdr:twoCellAnchor>
  <xdr:twoCellAnchor editAs="oneCell">
    <xdr:from>
      <xdr:col>23</xdr:col>
      <xdr:colOff>0</xdr:colOff>
      <xdr:row>6</xdr:row>
      <xdr:rowOff>0</xdr:rowOff>
    </xdr:from>
    <xdr:to>
      <xdr:col>34</xdr:col>
      <xdr:colOff>479326</xdr:colOff>
      <xdr:row>46</xdr:row>
      <xdr:rowOff>16306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E58EDE2-1A71-F8D0-05FB-52ABC03D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020800" y="1143000"/>
          <a:ext cx="8392696" cy="764011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49</xdr:row>
      <xdr:rowOff>24185</xdr:rowOff>
    </xdr:from>
    <xdr:to>
      <xdr:col>12</xdr:col>
      <xdr:colOff>510540</xdr:colOff>
      <xdr:row>71</xdr:row>
      <xdr:rowOff>134187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1C908E8D-5884-7F9E-90D0-A15F545F5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25" y="9358685"/>
          <a:ext cx="7820025" cy="4291477"/>
        </a:xfrm>
        <a:prstGeom prst="rect">
          <a:avLst/>
        </a:prstGeom>
      </xdr:spPr>
    </xdr:pic>
    <xdr:clientData/>
  </xdr:twoCellAnchor>
  <xdr:twoCellAnchor editAs="oneCell">
    <xdr:from>
      <xdr:col>0</xdr:col>
      <xdr:colOff>95251</xdr:colOff>
      <xdr:row>72</xdr:row>
      <xdr:rowOff>109289</xdr:rowOff>
    </xdr:from>
    <xdr:to>
      <xdr:col>12</xdr:col>
      <xdr:colOff>495301</xdr:colOff>
      <xdr:row>95</xdr:row>
      <xdr:rowOff>115158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4996FD5D-7FAD-0C87-6E52-166E7D5E0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5251" y="13825289"/>
          <a:ext cx="7715250" cy="4387369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96</xdr:row>
      <xdr:rowOff>47625</xdr:rowOff>
    </xdr:from>
    <xdr:to>
      <xdr:col>12</xdr:col>
      <xdr:colOff>571500</xdr:colOff>
      <xdr:row>119</xdr:row>
      <xdr:rowOff>54482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2C57D6CD-0B1D-8701-E289-467E54331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7151" y="18335625"/>
          <a:ext cx="7829549" cy="43845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119</xdr:row>
      <xdr:rowOff>190499</xdr:rowOff>
    </xdr:from>
    <xdr:to>
      <xdr:col>13</xdr:col>
      <xdr:colOff>18746</xdr:colOff>
      <xdr:row>142</xdr:row>
      <xdr:rowOff>169544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94580D01-DFAC-5FC1-C043-5D82F400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22859999"/>
          <a:ext cx="7939736" cy="43529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143</xdr:row>
      <xdr:rowOff>1</xdr:rowOff>
    </xdr:from>
    <xdr:to>
      <xdr:col>13</xdr:col>
      <xdr:colOff>77473</xdr:colOff>
      <xdr:row>166</xdr:row>
      <xdr:rowOff>53341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555AC60B-0EAE-C7B7-9D5F-D9ABC3D73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27241501"/>
          <a:ext cx="8002273" cy="4438650"/>
        </a:xfrm>
        <a:prstGeom prst="rect">
          <a:avLst/>
        </a:prstGeom>
      </xdr:spPr>
    </xdr:pic>
    <xdr:clientData/>
  </xdr:twoCellAnchor>
  <xdr:twoCellAnchor editAs="oneCell">
    <xdr:from>
      <xdr:col>14</xdr:col>
      <xdr:colOff>581025</xdr:colOff>
      <xdr:row>74</xdr:row>
      <xdr:rowOff>0</xdr:rowOff>
    </xdr:from>
    <xdr:to>
      <xdr:col>27</xdr:col>
      <xdr:colOff>1025</xdr:colOff>
      <xdr:row>98</xdr:row>
      <xdr:rowOff>134005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E19017DE-9ACC-8F06-DF75-14EC713A3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115425" y="14097000"/>
          <a:ext cx="7344800" cy="46964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rne Lont | Flexpedia" id="{F7E6A02B-1EEC-4F6E-B5FF-DD2BE5950435}" userId="S::arne@flexpedia.nl::48bb1ec2-4fea-4830-b62d-5104319463b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943EAF-002C-4E14-8AC1-B808727D1B7E}" name="Tabel1" displayName="Tabel1" ref="B44:D53" totalsRowShown="0" headerRowDxfId="5" dataDxfId="4">
  <autoFilter ref="B44:D53" xr:uid="{61943EAF-002C-4E14-8AC1-B808727D1B7E}">
    <filterColumn colId="0" hiddenButton="1"/>
    <filterColumn colId="1" hiddenButton="1"/>
    <filterColumn colId="2" hiddenButton="1"/>
  </autoFilter>
  <tableColumns count="3">
    <tableColumn id="1" xr3:uid="{F7958D5B-D157-4951-ACEF-77B07A29CCCD}" name="Fase/contract" dataDxfId="8"/>
    <tableColumn id="2" xr3:uid="{3867923E-77F3-4E74-88C3-F8C6B9B86F75}" name="Omrekenfactor atv in loon" dataDxfId="7"/>
    <tableColumn id="3" xr3:uid="{B1CE477D-7E3C-4D0C-BE95-7BC5A045B1CF}" name="Omrekenfactor" dataDxfId="6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77CDA01-7C40-4A54-A10F-B199A5C842B8}" name="Tabel2" displayName="Tabel2" ref="B56:C63" totalsRowShown="0" headerRowDxfId="1" dataDxfId="0">
  <autoFilter ref="B56:C63" xr:uid="{877CDA01-7C40-4A54-A10F-B199A5C842B8}">
    <filterColumn colId="0" hiddenButton="1"/>
    <filterColumn colId="1" hiddenButton="1"/>
  </autoFilter>
  <tableColumns count="2">
    <tableColumn id="1" xr3:uid="{E784F6F7-0D9A-4DA6-A8F2-7F43D6C0918C}" name="Componenten " dataDxfId="3"/>
    <tableColumn id="2" xr3:uid="{190C9E3F-5AAE-4935-9E20-9F3F0FA4A3A5}" name="Reserveringen" dataDxfId="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2" dT="2025-12-19T17:08:06.54" personId="{F7E6A02B-1EEC-4F6E-B5FF-DD2BE5950435}" id="{CFFFE33D-D9A7-45E8-969C-CCF64A6AC75B}">
    <text xml:space="preserve">Indien ATV niet van toepassing is, wordt de juiste factor per fase gehanteerd. </text>
  </threadedComment>
  <threadedComment ref="D35" dT="2025-12-18T11:38:50.97" personId="{F7E6A02B-1EEC-4F6E-B5FF-DD2BE5950435}" id="{8D820658-3201-4F91-AB0C-6D134C7478BF}">
    <text xml:space="preserve">Minimale werkgeverspremie pensioen.  Positieve afwijkingen per inlener zijn niet opgenomen in de calculatie.
Is er geen verschil tussen werkgeverspremie StiPP en de inlener? Dan is er geen pensioencompensatie van toepassing. </text>
  </threadedComment>
  <threadedComment ref="C61" dT="2025-12-16T09:34:29.66" personId="{F7E6A02B-1EEC-4F6E-B5FF-DD2BE5950435}" id="{1AD51354-7C46-4C16-9044-E4A4AAE83720}">
    <text>Conform cao. Positieve afwijkingen per inlener zijn niet opgenomen in de calculatie.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C8752-118B-4CB8-BD3B-204E1F7AC992}">
  <sheetPr codeName="Blad1"/>
  <dimension ref="A1:J64"/>
  <sheetViews>
    <sheetView showGridLines="0" tabSelected="1" zoomScale="85" zoomScaleNormal="85" workbookViewId="0">
      <selection activeCell="B20" sqref="B20"/>
    </sheetView>
  </sheetViews>
  <sheetFormatPr defaultRowHeight="14.4"/>
  <cols>
    <col min="1" max="1" width="57.6640625" style="87" customWidth="1"/>
    <col min="2" max="2" width="38.33203125" style="87" customWidth="1"/>
    <col min="3" max="3" width="33.5546875" style="87" bestFit="1" customWidth="1"/>
    <col min="4" max="4" width="37.88671875" style="87" customWidth="1"/>
    <col min="5" max="5" width="32.44140625" style="87" customWidth="1"/>
    <col min="6" max="6" width="14.88671875" style="87" bestFit="1" customWidth="1"/>
    <col min="7" max="7" width="8.88671875" style="87"/>
    <col min="8" max="8" width="12.33203125" style="87" customWidth="1"/>
    <col min="9" max="9" width="15.6640625" style="87" bestFit="1" customWidth="1"/>
    <col min="10" max="10" width="20.109375" style="87" bestFit="1" customWidth="1"/>
    <col min="11" max="16384" width="8.88671875" style="87"/>
  </cols>
  <sheetData>
    <row r="1" spans="1:8" ht="60" customHeight="1">
      <c r="A1" s="85"/>
      <c r="B1" s="85"/>
      <c r="C1" s="85"/>
      <c r="D1" s="85"/>
      <c r="E1" s="85"/>
      <c r="F1" s="86"/>
      <c r="G1" s="86"/>
      <c r="H1" s="86"/>
    </row>
    <row r="2" spans="1:8">
      <c r="A2" s="88" t="s">
        <v>328</v>
      </c>
      <c r="B2" s="85"/>
      <c r="C2" s="85"/>
      <c r="D2" s="85"/>
      <c r="E2" s="85"/>
      <c r="F2" s="86"/>
      <c r="G2" s="86"/>
      <c r="H2" s="86"/>
    </row>
    <row r="3" spans="1:8">
      <c r="A3" s="89"/>
      <c r="B3" s="89"/>
      <c r="C3" s="86"/>
      <c r="D3" s="86"/>
      <c r="E3" s="86"/>
      <c r="F3" s="86"/>
      <c r="G3" s="86"/>
      <c r="H3" s="86"/>
    </row>
    <row r="4" spans="1:8">
      <c r="A4" s="89" t="s">
        <v>0</v>
      </c>
      <c r="B4" s="78" t="s">
        <v>1</v>
      </c>
      <c r="C4" s="79"/>
      <c r="D4" s="79"/>
      <c r="E4" s="80"/>
      <c r="F4" s="86"/>
      <c r="G4" s="86"/>
      <c r="H4" s="86"/>
    </row>
    <row r="5" spans="1:8">
      <c r="A5" s="89"/>
      <c r="B5" s="90"/>
      <c r="C5" s="90"/>
      <c r="D5" s="86"/>
      <c r="E5" s="86"/>
      <c r="F5" s="86"/>
      <c r="G5" s="86"/>
      <c r="H5" s="86"/>
    </row>
    <row r="6" spans="1:8">
      <c r="A6" s="89" t="s">
        <v>327</v>
      </c>
      <c r="B6" s="78" t="s">
        <v>50</v>
      </c>
      <c r="C6" s="79"/>
      <c r="D6" s="79"/>
      <c r="E6" s="80"/>
      <c r="F6" s="86"/>
      <c r="G6" s="86"/>
      <c r="H6" s="86"/>
    </row>
    <row r="7" spans="1:8">
      <c r="A7" s="89"/>
      <c r="B7" s="86"/>
      <c r="C7" s="86"/>
      <c r="D7" s="86"/>
      <c r="E7" s="86"/>
      <c r="F7" s="86"/>
      <c r="G7" s="86"/>
      <c r="H7" s="86"/>
    </row>
    <row r="8" spans="1:8">
      <c r="A8" s="89" t="s">
        <v>318</v>
      </c>
      <c r="B8" s="81">
        <v>15.5</v>
      </c>
      <c r="C8" s="82"/>
      <c r="D8" s="82"/>
      <c r="E8" s="83"/>
      <c r="F8" s="86"/>
      <c r="G8" s="86"/>
      <c r="H8" s="86"/>
    </row>
    <row r="9" spans="1:8">
      <c r="A9" s="89"/>
      <c r="B9" s="86"/>
      <c r="C9" s="86"/>
      <c r="D9" s="86"/>
      <c r="E9" s="86"/>
      <c r="F9" s="86"/>
      <c r="G9" s="86"/>
      <c r="H9" s="86"/>
    </row>
    <row r="10" spans="1:8">
      <c r="A10" s="89" t="s">
        <v>319</v>
      </c>
      <c r="B10" s="86"/>
      <c r="C10" s="86"/>
      <c r="D10" s="86"/>
      <c r="E10" s="86"/>
      <c r="F10" s="86"/>
      <c r="G10" s="86"/>
      <c r="H10" s="86"/>
    </row>
    <row r="11" spans="1:8">
      <c r="A11" s="86"/>
      <c r="B11" s="91" t="s">
        <v>3</v>
      </c>
      <c r="C11" s="92" t="s">
        <v>4</v>
      </c>
      <c r="D11" s="92" t="s">
        <v>5</v>
      </c>
      <c r="E11" s="93" t="s">
        <v>6</v>
      </c>
      <c r="F11" s="86"/>
      <c r="G11" s="86"/>
      <c r="H11" s="86"/>
    </row>
    <row r="12" spans="1:8">
      <c r="A12" s="86"/>
      <c r="B12" s="94" t="str">
        <f>B6</f>
        <v>Fase C ATV in loon</v>
      </c>
      <c r="C12" s="95">
        <f>(INDEX('Database calculator'!$O$2:$X$100,
       MATCH(B4, 'Database calculator'!$A$2:$A$100, 0),
       MATCH(B6, 'Database calculator'!$O$1:$X$1, 0)))</f>
        <v>1.7809792406406002</v>
      </c>
      <c r="D12" s="96">
        <v>1</v>
      </c>
      <c r="E12" s="97">
        <f>C12*$B$8</f>
        <v>27.605178229929304</v>
      </c>
      <c r="F12" s="86"/>
      <c r="G12" s="86"/>
      <c r="H12" s="86"/>
    </row>
    <row r="13" spans="1:8">
      <c r="A13" s="89" t="s">
        <v>7</v>
      </c>
      <c r="B13" s="94" t="s">
        <v>8</v>
      </c>
      <c r="C13" s="86">
        <v>1.37</v>
      </c>
      <c r="D13" s="71">
        <v>1.25</v>
      </c>
      <c r="E13" s="97">
        <f>C13*($B$8*D13)</f>
        <v>26.543750000000003</v>
      </c>
      <c r="F13" s="86"/>
      <c r="G13" s="86"/>
      <c r="H13" s="86"/>
    </row>
    <row r="14" spans="1:8">
      <c r="A14" s="89" t="s">
        <v>9</v>
      </c>
      <c r="B14" s="94" t="s">
        <v>10</v>
      </c>
      <c r="C14" s="86">
        <v>1.37</v>
      </c>
      <c r="D14" s="71">
        <v>1.4</v>
      </c>
      <c r="E14" s="97">
        <f>E12+($B$8*(D14-1)*C14)</f>
        <v>36.099178229929301</v>
      </c>
      <c r="F14" s="86"/>
      <c r="G14" s="86"/>
      <c r="H14" s="86"/>
    </row>
    <row r="15" spans="1:8">
      <c r="A15" s="89" t="s">
        <v>11</v>
      </c>
      <c r="B15" s="98" t="s">
        <v>12</v>
      </c>
      <c r="C15" s="99">
        <v>1.49</v>
      </c>
      <c r="D15" s="72">
        <v>1.35</v>
      </c>
      <c r="E15" s="100">
        <f>E12+($B$8*(D15-1)*C15)</f>
        <v>35.688428229929308</v>
      </c>
      <c r="F15" s="86"/>
      <c r="G15" s="86"/>
      <c r="H15" s="86"/>
    </row>
    <row r="16" spans="1:8">
      <c r="A16" s="86"/>
      <c r="B16" s="101" t="s">
        <v>332</v>
      </c>
      <c r="C16" s="101"/>
      <c r="D16" s="101"/>
      <c r="E16" s="101"/>
      <c r="F16" s="86"/>
      <c r="G16" s="86"/>
      <c r="H16" s="86"/>
    </row>
    <row r="17" spans="1:8">
      <c r="A17" s="89"/>
      <c r="B17" s="86"/>
      <c r="C17" s="86"/>
      <c r="D17" s="102"/>
      <c r="E17" s="86"/>
      <c r="F17" s="86"/>
      <c r="G17" s="86"/>
      <c r="H17" s="86"/>
    </row>
    <row r="18" spans="1:8">
      <c r="A18" s="88" t="s">
        <v>329</v>
      </c>
      <c r="B18" s="88"/>
      <c r="C18" s="88"/>
      <c r="D18" s="88"/>
      <c r="E18" s="88"/>
      <c r="F18" s="86"/>
      <c r="G18" s="86"/>
      <c r="H18" s="86"/>
    </row>
    <row r="19" spans="1:8">
      <c r="A19" s="89"/>
      <c r="B19" s="86"/>
      <c r="C19" s="86"/>
      <c r="D19" s="86"/>
      <c r="E19" s="86"/>
      <c r="F19" s="86"/>
      <c r="G19" s="86"/>
      <c r="H19" s="86"/>
    </row>
    <row r="20" spans="1:8">
      <c r="A20" s="89" t="s">
        <v>13</v>
      </c>
      <c r="B20" s="64" t="s">
        <v>14</v>
      </c>
      <c r="C20" s="103" t="str">
        <f>IF($B$20="Marge in €","€","")</f>
        <v>€</v>
      </c>
      <c r="D20" s="64">
        <v>10</v>
      </c>
      <c r="E20" s="104" t="str">
        <f>IF($B$20="Marge in €","","%")</f>
        <v/>
      </c>
      <c r="F20" s="86"/>
      <c r="G20" s="86"/>
      <c r="H20" s="86"/>
    </row>
    <row r="21" spans="1:8">
      <c r="A21" s="105"/>
      <c r="B21" s="106"/>
      <c r="C21" s="106"/>
      <c r="D21" s="86"/>
      <c r="E21" s="86"/>
      <c r="F21" s="102"/>
      <c r="G21" s="102"/>
      <c r="H21" s="86"/>
    </row>
    <row r="22" spans="1:8">
      <c r="B22" s="107" t="s">
        <v>15</v>
      </c>
      <c r="C22" s="108"/>
      <c r="D22" s="89" t="s">
        <v>16</v>
      </c>
      <c r="E22" s="89" t="s">
        <v>17</v>
      </c>
      <c r="F22" s="86"/>
      <c r="G22" s="86"/>
      <c r="H22" s="86"/>
    </row>
    <row r="23" spans="1:8">
      <c r="A23" s="105"/>
      <c r="B23" s="107" t="s">
        <v>14</v>
      </c>
      <c r="C23" s="109"/>
      <c r="D23" s="102">
        <f>IF($B$20="Marge in €",$E$12+$D$20,($E$12/100)*(100+$D$20))</f>
        <v>37.605178229929308</v>
      </c>
      <c r="E23" s="95">
        <f>$D$23/$B$8</f>
        <v>2.4261405309631812</v>
      </c>
      <c r="F23" s="102"/>
      <c r="G23" s="102"/>
      <c r="H23" s="86"/>
    </row>
    <row r="24" spans="1:8">
      <c r="A24" s="106"/>
      <c r="B24" s="105"/>
      <c r="C24" s="106"/>
      <c r="D24" s="102"/>
      <c r="E24" s="95"/>
      <c r="F24" s="86"/>
      <c r="G24" s="86"/>
      <c r="H24" s="86"/>
    </row>
    <row r="25" spans="1:8">
      <c r="A25" s="89"/>
      <c r="B25" s="91" t="s">
        <v>18</v>
      </c>
      <c r="C25" s="91" t="s">
        <v>6</v>
      </c>
      <c r="D25" s="91" t="s">
        <v>16</v>
      </c>
      <c r="E25" s="91" t="s">
        <v>17</v>
      </c>
      <c r="F25" s="86"/>
      <c r="G25" s="86"/>
      <c r="H25" s="86"/>
    </row>
    <row r="26" spans="1:8">
      <c r="A26" s="86"/>
      <c r="B26" s="110" t="str">
        <f>B6</f>
        <v>Fase C ATV in loon</v>
      </c>
      <c r="C26" s="102">
        <f>E12</f>
        <v>27.605178229929304</v>
      </c>
      <c r="D26" s="102">
        <f>IF($B$20="Marge in €",$E$12+$D$20,($E$12/100)*(100+$D$20))</f>
        <v>37.605178229929308</v>
      </c>
      <c r="E26" s="111">
        <f>D26/$B$8</f>
        <v>2.4261405309631812</v>
      </c>
      <c r="F26" s="86"/>
      <c r="G26" s="86"/>
      <c r="H26" s="86"/>
    </row>
    <row r="27" spans="1:8">
      <c r="A27" s="86"/>
      <c r="B27" s="110" t="s">
        <v>8</v>
      </c>
      <c r="C27" s="102">
        <f>E13</f>
        <v>26.543750000000003</v>
      </c>
      <c r="D27" s="102">
        <f>IF($B$20="Marge in €",$E$13+$D$20,($E$13/100)*(100+$D$20))</f>
        <v>36.543750000000003</v>
      </c>
      <c r="E27" s="111">
        <f>D27/$B$8</f>
        <v>2.3576612903225809</v>
      </c>
      <c r="F27" s="86"/>
      <c r="G27" s="86"/>
      <c r="H27" s="86"/>
    </row>
    <row r="28" spans="1:8">
      <c r="A28" s="86"/>
      <c r="B28" s="110" t="s">
        <v>10</v>
      </c>
      <c r="C28" s="102">
        <f>E14</f>
        <v>36.099178229929301</v>
      </c>
      <c r="D28" s="102">
        <f>IF($B$20="Marge in €",$E$14+$D$20,($E$14/100)*(100+$D$20))</f>
        <v>46.099178229929301</v>
      </c>
      <c r="E28" s="111">
        <f>D28/$B$8</f>
        <v>2.9741405309631808</v>
      </c>
      <c r="F28" s="86"/>
      <c r="G28" s="86"/>
      <c r="H28" s="86"/>
    </row>
    <row r="29" spans="1:8">
      <c r="A29" s="86"/>
      <c r="B29" s="112" t="s">
        <v>12</v>
      </c>
      <c r="C29" s="113">
        <f>E15</f>
        <v>35.688428229929308</v>
      </c>
      <c r="D29" s="113">
        <f>IF($B$20="Marge in €",$E$15+$D$20,($E$15/100)*(100+$D$20))</f>
        <v>45.688428229929308</v>
      </c>
      <c r="E29" s="114">
        <f>D29/$B$8</f>
        <v>2.9476405309631812</v>
      </c>
      <c r="F29" s="86"/>
      <c r="G29" s="86"/>
      <c r="H29" s="86"/>
    </row>
    <row r="30" spans="1:8">
      <c r="A30" s="86"/>
      <c r="B30" s="101" t="s">
        <v>332</v>
      </c>
      <c r="C30" s="101"/>
      <c r="D30" s="101"/>
      <c r="E30" s="101"/>
      <c r="F30" s="86"/>
      <c r="G30" s="86"/>
      <c r="H30" s="86"/>
    </row>
    <row r="31" spans="1:8">
      <c r="A31" s="86"/>
      <c r="B31" s="86"/>
      <c r="C31" s="86"/>
      <c r="D31" s="102"/>
      <c r="E31" s="95"/>
      <c r="F31" s="86"/>
      <c r="G31" s="86"/>
      <c r="H31" s="86"/>
    </row>
    <row r="32" spans="1:8">
      <c r="A32" s="88" t="s">
        <v>330</v>
      </c>
      <c r="B32" s="88"/>
      <c r="C32" s="88"/>
      <c r="D32" s="88"/>
      <c r="E32" s="88"/>
      <c r="F32" s="86"/>
      <c r="G32" s="86"/>
      <c r="H32" s="86"/>
    </row>
    <row r="33" spans="1:10">
      <c r="B33" s="86"/>
      <c r="C33" s="86"/>
      <c r="D33" s="102"/>
      <c r="E33" s="95"/>
      <c r="F33" s="86"/>
      <c r="G33" s="86"/>
      <c r="H33" s="115"/>
    </row>
    <row r="34" spans="1:10">
      <c r="A34" s="116" t="s">
        <v>338</v>
      </c>
      <c r="B34" s="86"/>
      <c r="C34" s="86"/>
      <c r="E34" s="95"/>
      <c r="G34" s="86"/>
      <c r="H34" s="86"/>
      <c r="I34" s="115"/>
    </row>
    <row r="35" spans="1:10">
      <c r="A35" s="89" t="s">
        <v>339</v>
      </c>
      <c r="B35" s="117" t="s">
        <v>317</v>
      </c>
      <c r="C35" s="118"/>
      <c r="D35" s="119">
        <f>IFERROR(
  _xlfn.XLOOKUP(B4, 'Database calculator'!A2:A46, 'Database calculator'!M2:M46) * 100,
  "N.t.b."
)</f>
        <v>1.7999999999999989</v>
      </c>
      <c r="H35" s="86"/>
      <c r="J35" s="120"/>
    </row>
    <row r="36" spans="1:10">
      <c r="A36" s="89"/>
      <c r="B36" s="110" t="s">
        <v>311</v>
      </c>
      <c r="C36" s="86"/>
      <c r="D36" s="97" cm="1">
        <f t="array" ref="D36">_xlfn.LET(
  _xlpm.cao, B4,
  _xlpm.keuze, TRIM(B6),
  _xlpm.header, _xlfn.SWITCH(_xlpm.keuze,
    "Fase A overgangsregeling ATV in loon", "Fase A overgangsregeling - ATV in loon",
    "Fase A ATV in loon", "Fase A - ATV in loon",
    "Fase B ATV in loon", "Fase B - ATV in loon",
    "Fase C ATV in loon", "Fase C - ATV in loon",
    "Fase A Deta ATV in loon", "Fase A - Deta ATV in loon",
    "Fase A overgangsregeling", "Fase A overgangsregeling -",
    "Fase A", "Fase A -",
    "Fase B", "Fase B -",
    "Fase C", "Fase C -",
    "Fase A Deta", "Fase A Deta -",
    _xlpm.keuze
  ),
  IFERROR(
    (INDEX('Database calculator'!$A$2:$AK$1000,
           MATCH(_xlpm.cao, 'Database calculator'!$A$2:$A$1000, 0),
           MATCH(_xlpm.header, 'Database calculator'!$A$1:$AK$1, 0)
     ) / 100 * B8),
    0
  )
)</f>
        <v>19.096919217391303</v>
      </c>
      <c r="G36" s="121" t="s">
        <v>333</v>
      </c>
      <c r="H36" s="86"/>
      <c r="I36" s="122"/>
      <c r="J36" s="120"/>
    </row>
    <row r="37" spans="1:10">
      <c r="A37" s="116" t="s">
        <v>340</v>
      </c>
      <c r="B37" s="110" t="s">
        <v>19</v>
      </c>
      <c r="C37" s="86"/>
      <c r="D37" s="123">
        <f>IFERROR(
  (D36-Basis!$G$175)*(D35/100)*Basis!$G$177,
  "N.t.b."
)</f>
        <v>0.14980773766382596</v>
      </c>
      <c r="G37" s="108">
        <f>(INDEX('Database calculator'!$O$2:$X$100, MATCH(B4, 'Database calculator'!$A$2:$A$100, 0), MATCH(B6, 'Database calculator'!$O$1:$X$1, 0)))</f>
        <v>1.7809792406406002</v>
      </c>
      <c r="H37" s="86"/>
      <c r="I37" s="122"/>
      <c r="J37" s="120"/>
    </row>
    <row r="38" spans="1:10">
      <c r="A38" s="89" t="s">
        <v>341</v>
      </c>
      <c r="B38" s="112" t="s">
        <v>6</v>
      </c>
      <c r="C38" s="99"/>
      <c r="D38" s="124">
        <f>IFERROR(
  (D37*C53),
  "N.t.b."
)</f>
        <v>0.22920583862565372</v>
      </c>
      <c r="G38" s="125">
        <f>(INDEX('Database calculator'!$AB$2:$AK$100,
       MATCH(B4, 'Database calculator'!$A$2:$A$100, 0),
       MATCH(G36, 'Database calculator'!$AB$1:$AK$1, 0)))/100*B8</f>
        <v>20.906346857142854</v>
      </c>
      <c r="H38" s="86"/>
      <c r="I38" s="122"/>
      <c r="J38" s="120"/>
    </row>
    <row r="39" spans="1:10">
      <c r="A39" s="89" t="s">
        <v>342</v>
      </c>
      <c r="B39" s="101" t="s">
        <v>332</v>
      </c>
      <c r="C39" s="101"/>
      <c r="D39" s="101"/>
      <c r="E39" s="126"/>
      <c r="G39" s="125" cm="1">
        <f t="array" ref="G39">_xlfn.LET(
  _xlpm.cao, B4,
  _xlpm.keuze, TRIM(B6),
  _xlpm.header, _xlfn.SWITCH(_xlpm.keuze,
    "Fase A overgangsregeling ATV in loon", "Fase A overgangsregeling - ATV in loon",
    "Fase A ATV in loon", "Fase A - ATV in loon",
    "Fase B ATV in loon", "Fase B - ATV in loon",
    "Fase C ATV in loon", "Fase C - ATV in loon",
    "Fase A Deta ATV in loon", "Fase A - Deta ATV in loon",
    "Fase A overgangsregeling", "Fase A overgangsregeling -",
    "Fase A", "Fase A -",
    "Fase B", "Fase B -",
    "Fase C", "Fase C -",
    "Fase A Deta", "Fase A Deta -",
    _xlpm.keuze
  ),
  IFERROR(
    (INDEX('Database calculator'!$A$2:$AK$1000,
           MATCH(_xlpm.cao, 'Database calculator'!$A$2:$A$1000, 0),
           MATCH(_xlpm.header, 'Database calculator'!$A$1:$AK$1, 0)
     ) / 100 * B8),
    0
  )
)</f>
        <v>19.096919217391303</v>
      </c>
      <c r="H39" s="86"/>
      <c r="I39" s="122"/>
      <c r="J39" s="120"/>
    </row>
    <row r="40" spans="1:10">
      <c r="A40" s="89"/>
      <c r="G40" s="121"/>
    </row>
    <row r="41" spans="1:10">
      <c r="A41" s="127"/>
      <c r="B41" s="86"/>
      <c r="C41" s="86"/>
      <c r="D41" s="86"/>
      <c r="E41" s="89"/>
      <c r="F41" s="86"/>
      <c r="G41" s="96"/>
      <c r="H41" s="86"/>
      <c r="I41" s="122"/>
      <c r="J41" s="120"/>
    </row>
    <row r="42" spans="1:10">
      <c r="A42" s="88" t="s">
        <v>331</v>
      </c>
      <c r="B42" s="88"/>
      <c r="C42" s="88"/>
      <c r="D42" s="88"/>
      <c r="E42" s="88"/>
      <c r="F42" s="86"/>
      <c r="G42" s="86"/>
      <c r="H42" s="86"/>
    </row>
    <row r="43" spans="1:10">
      <c r="A43" s="86"/>
      <c r="B43" s="86"/>
      <c r="C43" s="86"/>
      <c r="D43" s="86"/>
      <c r="E43" s="86"/>
      <c r="F43" s="86"/>
      <c r="H43" s="86"/>
    </row>
    <row r="44" spans="1:10">
      <c r="A44" s="89" t="s">
        <v>20</v>
      </c>
      <c r="B44" s="128" t="s">
        <v>21</v>
      </c>
      <c r="C44" s="128" t="s">
        <v>312</v>
      </c>
      <c r="D44" s="128" t="s">
        <v>324</v>
      </c>
      <c r="E44" s="86"/>
      <c r="F44" s="86"/>
      <c r="G44" s="129"/>
      <c r="H44" s="129"/>
      <c r="I44" s="130"/>
      <c r="J44" s="116"/>
    </row>
    <row r="45" spans="1:10">
      <c r="A45" s="86"/>
      <c r="B45" s="86" t="s">
        <v>22</v>
      </c>
      <c r="C45" s="131">
        <f>_xlfn.XLOOKUP(B4,'Database calculator'!A:A,'Database calculator'!O:O)</f>
        <v>1.8086010407417452</v>
      </c>
      <c r="D45" s="131">
        <f>_xlfn.XLOOKUP(B4,'Database calculator'!A:A,'Database calculator'!T:T)</f>
        <v>1.9218979101594378</v>
      </c>
      <c r="E45" s="86"/>
      <c r="F45" s="86"/>
      <c r="G45" s="132"/>
      <c r="H45" s="86"/>
      <c r="J45" s="86"/>
    </row>
    <row r="46" spans="1:10">
      <c r="A46" s="86"/>
      <c r="B46" s="86" t="s">
        <v>2</v>
      </c>
      <c r="C46" s="131">
        <f>_xlfn.XLOOKUP(B4,'Database calculator'!A:A,'Database calculator'!P:P)</f>
        <v>1.8027692566884002</v>
      </c>
      <c r="D46" s="131">
        <f>_xlfn.XLOOKUP(B4,'Database calculator'!A:A,'Database calculator'!U:U)</f>
        <v>1.9157701104873288</v>
      </c>
      <c r="E46" s="86"/>
      <c r="F46" s="86"/>
      <c r="G46" s="132"/>
      <c r="H46" s="86"/>
      <c r="J46" s="86"/>
    </row>
    <row r="47" spans="1:10">
      <c r="A47" s="86"/>
      <c r="B47" s="86" t="s">
        <v>23</v>
      </c>
      <c r="C47" s="131">
        <f>_xlfn.XLOOKUP(B4,'Database calculator'!A:A,'Database calculator'!Q:Q)</f>
        <v>1.8291364654563003</v>
      </c>
      <c r="D47" s="131">
        <f>_xlfn.XLOOKUP(B4,'Database calculator'!A:A,'Database calculator'!V:V)</f>
        <v>1.9433656153412127</v>
      </c>
      <c r="E47" s="86"/>
      <c r="F47" s="86"/>
      <c r="G47" s="132"/>
      <c r="H47" s="86"/>
      <c r="J47" s="86"/>
    </row>
    <row r="48" spans="1:10">
      <c r="A48" s="86"/>
      <c r="B48" s="86" t="s">
        <v>24</v>
      </c>
      <c r="C48" s="131">
        <f>_xlfn.XLOOKUP(B4,'Database calculator'!A:A,'Database calculator'!R:R)</f>
        <v>1.7809792406406002</v>
      </c>
      <c r="D48" s="131">
        <f>_xlfn.XLOOKUP(B4,'Database calculator'!A:A,'Database calculator'!W:W)</f>
        <v>1.891863113707974</v>
      </c>
      <c r="E48" s="86"/>
      <c r="F48" s="86"/>
      <c r="G48" s="132"/>
      <c r="H48" s="86"/>
      <c r="J48" s="86"/>
    </row>
    <row r="49" spans="1:10">
      <c r="A49" s="86"/>
      <c r="B49" s="86" t="s">
        <v>25</v>
      </c>
      <c r="C49" s="131">
        <f>_xlfn.XLOOKUP(B4,'Database calculator'!A:A,'Database calculator'!S:S)</f>
        <v>1.8215293000905004</v>
      </c>
      <c r="D49" s="131">
        <f>_xlfn.XLOOKUP(B4,'Database calculator'!A:A,'Database calculator'!X:X)</f>
        <v>1.9353738478463998</v>
      </c>
      <c r="E49" s="86"/>
      <c r="F49" s="86"/>
      <c r="G49" s="132"/>
      <c r="H49" s="86"/>
      <c r="J49" s="86"/>
    </row>
    <row r="50" spans="1:10">
      <c r="A50" s="86"/>
      <c r="B50" s="86" t="s">
        <v>26</v>
      </c>
      <c r="C50" s="133">
        <v>1.37</v>
      </c>
      <c r="D50" s="133">
        <f>Tabel1[[#This Row],[Omrekenfactor atv in loon]]</f>
        <v>1.37</v>
      </c>
      <c r="E50" s="86"/>
      <c r="F50" s="86"/>
      <c r="G50" s="86"/>
      <c r="H50" s="86"/>
    </row>
    <row r="51" spans="1:10">
      <c r="A51" s="86"/>
      <c r="B51" s="86" t="s">
        <v>12</v>
      </c>
      <c r="C51" s="133">
        <v>1.49</v>
      </c>
      <c r="D51" s="133">
        <f>Tabel1[[#This Row],[Omrekenfactor atv in loon]]</f>
        <v>1.49</v>
      </c>
      <c r="E51" s="86"/>
      <c r="F51" s="86"/>
      <c r="G51" s="86"/>
      <c r="H51" s="86"/>
    </row>
    <row r="52" spans="1:10">
      <c r="A52" s="86"/>
      <c r="B52" s="86" t="s">
        <v>27</v>
      </c>
      <c r="C52" s="133">
        <v>1.37</v>
      </c>
      <c r="D52" s="133">
        <f>Tabel1[[#This Row],[Omrekenfactor atv in loon]]</f>
        <v>1.37</v>
      </c>
      <c r="E52" s="86"/>
      <c r="F52" s="86"/>
      <c r="G52" s="86"/>
      <c r="H52" s="86"/>
    </row>
    <row r="53" spans="1:10">
      <c r="A53" s="86"/>
      <c r="B53" s="86" t="s">
        <v>326</v>
      </c>
      <c r="C53" s="133">
        <v>1.53</v>
      </c>
      <c r="D53" s="133">
        <f>Tabel1[[#This Row],[Omrekenfactor atv in loon]]</f>
        <v>1.53</v>
      </c>
      <c r="E53" s="86"/>
      <c r="F53" s="86"/>
      <c r="G53" s="86"/>
      <c r="H53" s="86"/>
    </row>
    <row r="54" spans="1:10">
      <c r="A54" s="86"/>
      <c r="B54" s="101" t="s">
        <v>332</v>
      </c>
      <c r="C54" s="101"/>
      <c r="D54" s="101"/>
      <c r="E54" s="86"/>
      <c r="F54" s="86"/>
      <c r="G54" s="86"/>
      <c r="H54" s="86"/>
    </row>
    <row r="55" spans="1:10">
      <c r="A55" s="86"/>
      <c r="B55" s="86"/>
      <c r="C55" s="86"/>
      <c r="D55" s="86"/>
      <c r="E55" s="86"/>
      <c r="F55" s="86"/>
      <c r="G55" s="86"/>
      <c r="H55" s="86"/>
    </row>
    <row r="56" spans="1:10">
      <c r="A56" s="89" t="s">
        <v>29</v>
      </c>
      <c r="B56" s="128" t="s">
        <v>30</v>
      </c>
      <c r="C56" s="134" t="s">
        <v>31</v>
      </c>
      <c r="D56" s="86"/>
      <c r="E56" s="86"/>
      <c r="F56" s="86"/>
      <c r="G56" s="86"/>
      <c r="H56" s="86"/>
    </row>
    <row r="57" spans="1:10">
      <c r="A57" s="86"/>
      <c r="B57" s="86" t="s">
        <v>310</v>
      </c>
      <c r="C57" s="102">
        <f>B8</f>
        <v>15.5</v>
      </c>
      <c r="D57" s="86"/>
      <c r="E57" s="86"/>
      <c r="F57" s="86"/>
      <c r="G57" s="86"/>
      <c r="H57" s="86"/>
    </row>
    <row r="58" spans="1:10">
      <c r="A58" s="86"/>
      <c r="B58" s="86" t="s">
        <v>32</v>
      </c>
      <c r="C58" s="135">
        <f>_xlfn.XLOOKUP(B4,'Database calculator'!A:A,'Database calculator'!D:D)</f>
        <v>25</v>
      </c>
      <c r="D58" s="86"/>
      <c r="E58" s="86"/>
      <c r="F58" s="86"/>
      <c r="G58" s="86"/>
      <c r="H58" s="86"/>
    </row>
    <row r="59" spans="1:10">
      <c r="A59" s="86"/>
      <c r="B59" s="86" t="s">
        <v>33</v>
      </c>
      <c r="C59" s="86">
        <f>_xlfn.XLOOKUP(B4,'Database calculator'!A:A,'Database calculator'!F:F)</f>
        <v>6</v>
      </c>
      <c r="D59" s="86"/>
      <c r="E59" s="136"/>
      <c r="F59" s="86"/>
      <c r="G59" s="86"/>
      <c r="H59" s="86"/>
    </row>
    <row r="60" spans="1:10">
      <c r="A60" s="86"/>
      <c r="B60" s="86" t="s">
        <v>34</v>
      </c>
      <c r="C60" s="86">
        <f>_xlfn.XLOOKUP(B4,'Database calculator'!A:A,'Database calculator'!E:E)</f>
        <v>13</v>
      </c>
      <c r="D60" s="86"/>
      <c r="E60" s="136"/>
      <c r="F60" s="86"/>
      <c r="G60" s="86"/>
      <c r="H60" s="86"/>
    </row>
    <row r="61" spans="1:10">
      <c r="A61" s="86"/>
      <c r="B61" s="86" t="s">
        <v>35</v>
      </c>
      <c r="C61" s="137">
        <f>_xlfn.XLOOKUP(B4,'Database calculator'!A:A,'Database calculator'!K:K)</f>
        <v>0.08</v>
      </c>
      <c r="D61" s="86"/>
      <c r="E61" s="136"/>
      <c r="F61" s="86"/>
      <c r="G61" s="86"/>
      <c r="H61" s="86"/>
    </row>
    <row r="62" spans="1:10">
      <c r="A62" s="86"/>
      <c r="B62" s="86" t="s">
        <v>36</v>
      </c>
      <c r="C62" s="137">
        <v>8.3299999999999999E-2</v>
      </c>
      <c r="D62" s="86"/>
      <c r="E62" s="136"/>
      <c r="F62" s="86"/>
      <c r="G62" s="86"/>
      <c r="H62" s="86"/>
    </row>
    <row r="63" spans="1:10">
      <c r="A63" s="86"/>
      <c r="B63" s="86" t="s">
        <v>37</v>
      </c>
      <c r="C63" s="138">
        <f>_xlfn.XLOOKUP(B4,'Database calculator'!A:A,'Database calculator'!J:J)*100</f>
        <v>4.4000000000000004</v>
      </c>
      <c r="D63" s="86"/>
      <c r="E63" s="136"/>
      <c r="F63" s="86"/>
      <c r="G63" s="86"/>
      <c r="H63" s="86"/>
    </row>
    <row r="64" spans="1:10">
      <c r="B64" s="139" t="s">
        <v>332</v>
      </c>
      <c r="C64" s="139"/>
    </row>
  </sheetData>
  <sheetProtection algorithmName="SHA-512" hashValue="75Keh4DXz1J3/pPptZ4pgx87fxh478Qt+krJQmqO2eh9gq6HfHqD5mQ1GVYQiS2bIwwYYsT7bzxoVZ6i1KbLmw==" saltValue="BAyCx80WBR8+Yd3rjw3/SA==" spinCount="100000" sheet="1" selectLockedCells="1"/>
  <mergeCells count="8">
    <mergeCell ref="B39:D39"/>
    <mergeCell ref="B54:D54"/>
    <mergeCell ref="B64:C64"/>
    <mergeCell ref="B4:E4"/>
    <mergeCell ref="B6:E6"/>
    <mergeCell ref="B8:E8"/>
    <mergeCell ref="B16:E16"/>
    <mergeCell ref="B30:E30"/>
  </mergeCells>
  <dataValidations count="1">
    <dataValidation type="list" allowBlank="1" showInputMessage="1" showErrorMessage="1" sqref="B20" xr:uid="{71625B3A-68E4-4B87-8607-830E69C0A421}">
      <formula1>$B$22:$B$23</formula1>
    </dataValidation>
  </dataValidations>
  <pageMargins left="0.7" right="0.7" top="0.75" bottom="0.75" header="0.3" footer="0.3"/>
  <ignoredErrors>
    <ignoredError sqref="E20 C20 E12:E15 C12 D23:E23 D35:D38 G37:G39 C45:C49 D45:D53 C57:C61 C63 C26:E29 B26" unlockedFormula="1"/>
  </ignoredErrors>
  <drawing r:id="rId1"/>
  <legacy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7CF675D-A0ED-4ADE-8FBC-F0D91B9EED11}">
          <x14:formula1>
            <xm:f>'Database calculator'!$A$2:$A$46</xm:f>
          </x14:formula1>
          <xm:sqref>B4:E4</xm:sqref>
        </x14:dataValidation>
        <x14:dataValidation type="list" allowBlank="1" showInputMessage="1" showErrorMessage="1" xr:uid="{7E1D50DF-EB66-4665-B484-55ACA107EB64}">
          <x14:formula1>
            <xm:f>'Database calculator'!$O$1:$X$1</xm:f>
          </x14:formula1>
          <xm:sqref>B6:E6</xm:sqref>
        </x14:dataValidation>
        <x14:dataValidation type="list" allowBlank="1" showInputMessage="1" showErrorMessage="1" xr:uid="{597F3F9D-03B5-4915-89F5-01FB524BB503}">
          <x14:formula1>
            <xm:f>'Database calculator'!$AB$1:$AK$1</xm:f>
          </x14:formula1>
          <xm:sqref>G36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CB577-3161-4285-BD0D-FD9A5EF20FC4}">
  <dimension ref="A1:B9"/>
  <sheetViews>
    <sheetView workbookViewId="0"/>
  </sheetViews>
  <sheetFormatPr defaultRowHeight="14.4"/>
  <cols>
    <col min="1" max="1" width="109.88671875" bestFit="1" customWidth="1"/>
  </cols>
  <sheetData>
    <row r="1" spans="1:2" ht="25.8">
      <c r="A1" s="65"/>
      <c r="B1" s="65"/>
    </row>
    <row r="2" spans="1:2" ht="25.8">
      <c r="A2" s="66" t="s">
        <v>303</v>
      </c>
      <c r="B2" s="65">
        <v>10</v>
      </c>
    </row>
    <row r="3" spans="1:2" ht="25.8">
      <c r="A3" s="66" t="s">
        <v>304</v>
      </c>
      <c r="B3" s="65">
        <v>20</v>
      </c>
    </row>
    <row r="4" spans="1:2" ht="25.8">
      <c r="A4" s="66" t="s">
        <v>305</v>
      </c>
      <c r="B4" s="65" t="s">
        <v>306</v>
      </c>
    </row>
    <row r="5" spans="1:2" ht="25.8">
      <c r="A5" s="66" t="s">
        <v>307</v>
      </c>
      <c r="B5" s="65">
        <v>1</v>
      </c>
    </row>
    <row r="6" spans="1:2" ht="25.8">
      <c r="A6" s="66" t="s">
        <v>308</v>
      </c>
      <c r="B6" s="65">
        <f>IF($B$4="€", $B$3-$B$2, ($B$3-$B$2)/$B$3)</f>
        <v>10</v>
      </c>
    </row>
    <row r="7" spans="1:2" ht="25.8">
      <c r="A7" s="65"/>
      <c r="B7" s="65"/>
    </row>
    <row r="8" spans="1:2" ht="25.8">
      <c r="A8" s="65" t="s">
        <v>306</v>
      </c>
      <c r="B8" s="65"/>
    </row>
    <row r="9" spans="1:2" ht="25.8">
      <c r="A9" s="65" t="s">
        <v>309</v>
      </c>
      <c r="B9" s="65"/>
    </row>
  </sheetData>
  <dataValidations count="1">
    <dataValidation type="list" allowBlank="1" showInputMessage="1" showErrorMessage="1" sqref="B4" xr:uid="{24D1475A-22E8-4D41-B917-B357E9548864}">
      <formula1>$A$8:$A$9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6732A-819A-4C6E-88A9-8F95DC8C4268}">
  <sheetPr codeName="Blad2"/>
  <dimension ref="A1:AL46"/>
  <sheetViews>
    <sheetView zoomScale="67" zoomScaleNormal="85" workbookViewId="0">
      <pane xSplit="1" ySplit="1" topLeftCell="B11" activePane="bottomRight" state="frozen"/>
      <selection pane="topRight" activeCell="B1" sqref="B1"/>
      <selection pane="bottomLeft" activeCell="A2" sqref="A2"/>
      <selection pane="bottomRight" activeCell="F5" sqref="A1:XFD1048576"/>
    </sheetView>
  </sheetViews>
  <sheetFormatPr defaultRowHeight="14.4"/>
  <cols>
    <col min="1" max="1" width="44.33203125" bestFit="1" customWidth="1"/>
    <col min="2" max="2" width="15.6640625" customWidth="1"/>
    <col min="3" max="3" width="21.33203125" customWidth="1"/>
    <col min="4" max="4" width="19.6640625" customWidth="1"/>
    <col min="5" max="5" width="7.33203125" customWidth="1"/>
    <col min="6" max="6" width="26" customWidth="1"/>
    <col min="7" max="7" width="21.33203125" customWidth="1"/>
    <col min="8" max="8" width="9" customWidth="1"/>
    <col min="9" max="9" width="17.88671875" customWidth="1"/>
    <col min="10" max="10" width="9" customWidth="1"/>
    <col min="11" max="11" width="13.88671875" customWidth="1"/>
    <col min="12" max="12" width="19.88671875" customWidth="1"/>
    <col min="13" max="14" width="13.88671875" customWidth="1"/>
    <col min="15" max="15" width="36" customWidth="1"/>
    <col min="16" max="18" width="25.6640625" bestFit="1" customWidth="1"/>
    <col min="19" max="19" width="32.109375" bestFit="1" customWidth="1"/>
    <col min="20" max="20" width="27.44140625" customWidth="1"/>
    <col min="21" max="23" width="31.6640625" bestFit="1" customWidth="1"/>
    <col min="24" max="24" width="38" bestFit="1" customWidth="1"/>
    <col min="25" max="25" width="21.109375" bestFit="1" customWidth="1"/>
    <col min="26" max="26" width="19.88671875" bestFit="1" customWidth="1"/>
    <col min="27" max="27" width="21.33203125" bestFit="1" customWidth="1"/>
    <col min="28" max="28" width="35.88671875" bestFit="1" customWidth="1"/>
    <col min="29" max="30" width="18.44140625" bestFit="1" customWidth="1"/>
    <col min="31" max="31" width="18.6640625" bestFit="1" customWidth="1"/>
    <col min="32" max="32" width="23.33203125" bestFit="1" customWidth="1"/>
    <col min="33" max="33" width="39.6640625" bestFit="1" customWidth="1"/>
    <col min="34" max="35" width="20.6640625" bestFit="1" customWidth="1"/>
    <col min="36" max="36" width="21.109375" bestFit="1" customWidth="1"/>
    <col min="37" max="37" width="32.33203125" bestFit="1" customWidth="1"/>
  </cols>
  <sheetData>
    <row r="1" spans="1:38">
      <c r="A1" s="5" t="s">
        <v>38</v>
      </c>
      <c r="B1" s="5" t="s">
        <v>39</v>
      </c>
      <c r="C1" s="5" t="s">
        <v>40</v>
      </c>
      <c r="D1" s="5" t="s">
        <v>32</v>
      </c>
      <c r="E1" s="5" t="s">
        <v>41</v>
      </c>
      <c r="F1" s="5" t="s">
        <v>33</v>
      </c>
      <c r="G1" s="5" t="s">
        <v>42</v>
      </c>
      <c r="H1" s="5" t="s">
        <v>43</v>
      </c>
      <c r="I1" s="5" t="s">
        <v>44</v>
      </c>
      <c r="J1" s="5" t="s">
        <v>45</v>
      </c>
      <c r="K1" s="5" t="s">
        <v>35</v>
      </c>
      <c r="L1" s="5" t="s">
        <v>46</v>
      </c>
      <c r="M1" s="5" t="s">
        <v>112</v>
      </c>
      <c r="N1" s="5"/>
      <c r="O1" s="69" t="s">
        <v>47</v>
      </c>
      <c r="P1" s="69" t="s">
        <v>48</v>
      </c>
      <c r="Q1" s="69" t="s">
        <v>49</v>
      </c>
      <c r="R1" s="69" t="s">
        <v>50</v>
      </c>
      <c r="S1" s="69" t="s">
        <v>51</v>
      </c>
      <c r="T1" s="5" t="s">
        <v>22</v>
      </c>
      <c r="U1" s="5" t="s">
        <v>2</v>
      </c>
      <c r="V1" s="5" t="s">
        <v>207</v>
      </c>
      <c r="W1" s="5" t="s">
        <v>24</v>
      </c>
      <c r="X1" s="5" t="s">
        <v>25</v>
      </c>
      <c r="Y1" s="5" t="s">
        <v>52</v>
      </c>
      <c r="Z1" s="5" t="s">
        <v>53</v>
      </c>
      <c r="AA1" s="5" t="s">
        <v>28</v>
      </c>
      <c r="AB1" s="69" t="s">
        <v>320</v>
      </c>
      <c r="AC1" s="69" t="s">
        <v>321</v>
      </c>
      <c r="AD1" s="69" t="s">
        <v>322</v>
      </c>
      <c r="AE1" s="69" t="s">
        <v>323</v>
      </c>
      <c r="AF1" s="69" t="s">
        <v>325</v>
      </c>
      <c r="AG1" s="67" t="s">
        <v>337</v>
      </c>
      <c r="AH1" s="67" t="s">
        <v>333</v>
      </c>
      <c r="AI1" s="67" t="s">
        <v>334</v>
      </c>
      <c r="AJ1" s="67" t="s">
        <v>335</v>
      </c>
      <c r="AK1" s="67" t="s">
        <v>336</v>
      </c>
      <c r="AL1" s="41"/>
    </row>
    <row r="2" spans="1:38">
      <c r="A2" t="s">
        <v>60</v>
      </c>
      <c r="B2">
        <v>7</v>
      </c>
      <c r="C2">
        <v>261</v>
      </c>
      <c r="D2" s="47">
        <v>24</v>
      </c>
      <c r="E2">
        <v>3.5</v>
      </c>
      <c r="F2">
        <v>6</v>
      </c>
      <c r="G2" s="3">
        <v>0.10549450549450549</v>
      </c>
      <c r="H2" s="3">
        <v>1.5384615384615385E-2</v>
      </c>
      <c r="I2" s="3">
        <v>2.64E-2</v>
      </c>
      <c r="J2">
        <v>4.4000000000000004E-2</v>
      </c>
      <c r="K2" s="3">
        <v>0.08</v>
      </c>
      <c r="L2" s="3">
        <v>0.19839999999999999</v>
      </c>
      <c r="M2" s="3">
        <v>3.9399999999999991E-2</v>
      </c>
      <c r="N2" s="3"/>
      <c r="O2" s="70">
        <v>1.8083423827931961</v>
      </c>
      <c r="P2" s="70">
        <v>1.7943847236261821</v>
      </c>
      <c r="Q2" s="70">
        <v>1.8206386891396367</v>
      </c>
      <c r="R2" s="70">
        <v>1.7726882924683636</v>
      </c>
      <c r="S2" s="70">
        <v>1.8130641954218183</v>
      </c>
      <c r="T2" s="68">
        <v>1.8375781281152563</v>
      </c>
      <c r="U2" s="68">
        <v>1.8232786282464</v>
      </c>
      <c r="V2" s="68">
        <v>1.8499343674139999</v>
      </c>
      <c r="W2" s="68">
        <v>1.8010546501140001</v>
      </c>
      <c r="X2" s="68">
        <v>1.8422439585588004</v>
      </c>
      <c r="Y2">
        <v>1.37</v>
      </c>
      <c r="Z2">
        <v>1.37</v>
      </c>
      <c r="AA2">
        <v>1.53</v>
      </c>
      <c r="AB2" s="73">
        <v>124.65761163157894</v>
      </c>
      <c r="AC2" s="73">
        <v>124.27787368421053</v>
      </c>
      <c r="AD2" s="73">
        <v>124.27787368421053</v>
      </c>
      <c r="AE2" s="73">
        <v>124.27787368421053</v>
      </c>
      <c r="AF2" s="73">
        <v>124.27787368421053</v>
      </c>
      <c r="AG2" s="29">
        <v>132.15680560465117</v>
      </c>
      <c r="AH2" s="29">
        <v>131.75422325581397</v>
      </c>
      <c r="AI2" s="29">
        <v>131.75422325581397</v>
      </c>
      <c r="AJ2" s="29">
        <v>131.75422325581397</v>
      </c>
      <c r="AK2" s="29">
        <v>131.75422325581397</v>
      </c>
    </row>
    <row r="3" spans="1:38">
      <c r="A3" t="s">
        <v>78</v>
      </c>
      <c r="B3">
        <v>9</v>
      </c>
      <c r="C3">
        <v>261</v>
      </c>
      <c r="D3" s="47">
        <v>24</v>
      </c>
      <c r="E3">
        <v>5</v>
      </c>
      <c r="F3">
        <v>6</v>
      </c>
      <c r="G3" s="3">
        <v>0.10619469026548672</v>
      </c>
      <c r="H3" s="3">
        <v>2.2123893805309734E-2</v>
      </c>
      <c r="I3" s="3">
        <v>2.6499999999999999E-2</v>
      </c>
      <c r="J3">
        <v>4.4000000000000004E-2</v>
      </c>
      <c r="K3" s="3">
        <v>8.3299999999999999E-2</v>
      </c>
      <c r="L3" s="3">
        <v>0.13150000000000001</v>
      </c>
      <c r="M3" s="3">
        <v>0</v>
      </c>
      <c r="N3" s="3"/>
      <c r="O3" s="70">
        <v>1.8083423827931961</v>
      </c>
      <c r="P3" s="70">
        <v>1.8000607261255035</v>
      </c>
      <c r="Q3" s="70">
        <v>1.8264592988518853</v>
      </c>
      <c r="R3" s="70">
        <v>1.77842677384242</v>
      </c>
      <c r="S3" s="70">
        <v>1.8188616608477073</v>
      </c>
      <c r="T3" s="68">
        <v>1.850397064334637</v>
      </c>
      <c r="U3" s="68">
        <v>1.8416610985737518</v>
      </c>
      <c r="V3" s="68">
        <v>1.868507278437916</v>
      </c>
      <c r="W3" s="68">
        <v>1.819157683099379</v>
      </c>
      <c r="X3" s="68">
        <v>1.8608087415651042</v>
      </c>
      <c r="Y3">
        <v>1.37</v>
      </c>
      <c r="Z3">
        <v>1.37</v>
      </c>
      <c r="AA3">
        <v>1.53</v>
      </c>
      <c r="AB3" s="73">
        <v>124.1212972139738</v>
      </c>
      <c r="AC3" s="73">
        <v>123.74319301310044</v>
      </c>
      <c r="AD3" s="73">
        <v>123.74319301310044</v>
      </c>
      <c r="AE3" s="73">
        <v>123.74319301310044</v>
      </c>
      <c r="AF3" s="73">
        <v>123.74319301310044</v>
      </c>
      <c r="AG3" s="29">
        <v>128.00751013513513</v>
      </c>
      <c r="AH3" s="29">
        <v>127.61756756756756</v>
      </c>
      <c r="AI3" s="29">
        <v>127.61756756756756</v>
      </c>
      <c r="AJ3" s="29">
        <v>127.61756756756756</v>
      </c>
      <c r="AK3" s="29">
        <v>127.61756756756756</v>
      </c>
    </row>
    <row r="4" spans="1:38">
      <c r="A4" t="s">
        <v>84</v>
      </c>
      <c r="B4">
        <v>7</v>
      </c>
      <c r="C4">
        <v>261</v>
      </c>
      <c r="D4" s="47">
        <v>25</v>
      </c>
      <c r="E4">
        <v>0</v>
      </c>
      <c r="F4">
        <v>6</v>
      </c>
      <c r="G4" s="3">
        <v>0.10869565217391304</v>
      </c>
      <c r="H4" s="3">
        <v>0</v>
      </c>
      <c r="I4" s="3">
        <v>2.6100000000000002E-2</v>
      </c>
      <c r="J4">
        <v>4.4000000000000004E-2</v>
      </c>
      <c r="K4" s="3">
        <v>0.08</v>
      </c>
      <c r="L4" s="3">
        <v>0.17</v>
      </c>
      <c r="M4" s="3">
        <v>1.100000000000001E-2</v>
      </c>
      <c r="N4" s="3"/>
      <c r="O4" s="70">
        <v>1.8083423827931961</v>
      </c>
      <c r="P4" s="70">
        <v>1.8024598126735203</v>
      </c>
      <c r="Q4" s="70">
        <v>1.8288785954439002</v>
      </c>
      <c r="R4" s="70">
        <v>1.7806569031251001</v>
      </c>
      <c r="S4" s="70">
        <v>1.8212714300781001</v>
      </c>
      <c r="T4" s="68">
        <v>1.8083423827931961</v>
      </c>
      <c r="U4" s="68">
        <v>1.8024598126735203</v>
      </c>
      <c r="V4" s="68">
        <v>1.8288785954439002</v>
      </c>
      <c r="W4" s="68">
        <v>1.7806569031251001</v>
      </c>
      <c r="X4" s="68">
        <v>1.8212714300781001</v>
      </c>
      <c r="Y4">
        <v>1.37</v>
      </c>
      <c r="Z4">
        <v>1.37</v>
      </c>
      <c r="AA4">
        <v>1.53</v>
      </c>
      <c r="AB4" s="73">
        <v>124.1212972139738</v>
      </c>
      <c r="AC4" s="73">
        <v>123.20076521739131</v>
      </c>
      <c r="AD4" s="73">
        <v>123.20076521739131</v>
      </c>
      <c r="AE4" s="73">
        <v>123.20076521739131</v>
      </c>
      <c r="AF4" s="73">
        <v>123.20076521739131</v>
      </c>
      <c r="AG4" s="29">
        <v>131.54792755555553</v>
      </c>
      <c r="AH4" s="29">
        <v>130.5511465437788</v>
      </c>
      <c r="AI4" s="29">
        <v>130.5511465437788</v>
      </c>
      <c r="AJ4" s="29">
        <v>130.5511465437788</v>
      </c>
      <c r="AK4" s="29">
        <v>130.5511465437788</v>
      </c>
    </row>
    <row r="5" spans="1:38">
      <c r="A5" s="41" t="s">
        <v>57</v>
      </c>
      <c r="B5" s="41">
        <v>7</v>
      </c>
      <c r="C5" s="41">
        <v>261</v>
      </c>
      <c r="D5" s="74">
        <v>25</v>
      </c>
      <c r="E5" s="41">
        <v>20</v>
      </c>
      <c r="F5" s="41">
        <v>6</v>
      </c>
      <c r="G5" s="48">
        <v>0.11904761904761904</v>
      </c>
      <c r="H5" s="48">
        <v>9.5238095238095233E-2</v>
      </c>
      <c r="I5" s="48">
        <v>2.86E-2</v>
      </c>
      <c r="J5" s="41">
        <v>4.4000000000000004E-2</v>
      </c>
      <c r="K5" s="48">
        <v>0.08</v>
      </c>
      <c r="L5" s="48">
        <v>0.16328200000000001</v>
      </c>
      <c r="M5" s="48">
        <v>0</v>
      </c>
      <c r="N5" s="48"/>
      <c r="O5" s="70">
        <v>1.7984434318780727</v>
      </c>
      <c r="P5" s="70">
        <v>1.7927491894191865</v>
      </c>
      <c r="Q5" s="70">
        <v>1.8129352490616208</v>
      </c>
      <c r="R5" s="70">
        <v>1.7581805622815165</v>
      </c>
      <c r="S5" s="70">
        <v>1.8072326872126334</v>
      </c>
      <c r="T5" s="68">
        <v>1.9698830887780938</v>
      </c>
      <c r="U5" s="68">
        <v>1.9636751620388568</v>
      </c>
      <c r="V5" s="68">
        <v>1.9857738450651428</v>
      </c>
      <c r="W5" s="68">
        <v>1.9257621089718855</v>
      </c>
      <c r="X5" s="68">
        <v>1.9794895320795427</v>
      </c>
      <c r="Y5">
        <v>1.37</v>
      </c>
      <c r="Z5">
        <v>1.37</v>
      </c>
      <c r="AA5">
        <v>1.53</v>
      </c>
      <c r="AB5" s="73">
        <v>124.11770198253276</v>
      </c>
      <c r="AC5" s="73">
        <v>124.11770198253276</v>
      </c>
      <c r="AD5" s="73">
        <v>124.11770198253276</v>
      </c>
      <c r="AE5" s="73">
        <v>124.11770198253276</v>
      </c>
      <c r="AF5" s="73">
        <v>124.11770198253276</v>
      </c>
      <c r="AG5" s="29">
        <v>131.55113733333332</v>
      </c>
      <c r="AH5" s="29">
        <v>131.55113733333332</v>
      </c>
      <c r="AI5" s="29">
        <v>131.55113733333332</v>
      </c>
      <c r="AJ5" s="29">
        <v>131.55113733333332</v>
      </c>
      <c r="AK5" s="29">
        <v>131.55113733333332</v>
      </c>
    </row>
    <row r="6" spans="1:38">
      <c r="A6" t="s">
        <v>86</v>
      </c>
      <c r="B6">
        <v>8</v>
      </c>
      <c r="C6">
        <v>261</v>
      </c>
      <c r="D6" s="47">
        <v>24</v>
      </c>
      <c r="E6">
        <v>13</v>
      </c>
      <c r="F6">
        <v>7</v>
      </c>
      <c r="G6" s="3">
        <v>0.11059907834101383</v>
      </c>
      <c r="H6" s="3">
        <v>5.9907834101382486E-2</v>
      </c>
      <c r="I6" s="3">
        <v>3.2300000000000002E-2</v>
      </c>
      <c r="J6">
        <v>4.4000000000000004E-2</v>
      </c>
      <c r="K6" s="3">
        <v>0.08</v>
      </c>
      <c r="L6" s="3">
        <v>0.17699999999999999</v>
      </c>
      <c r="M6" s="3">
        <v>1.7999999999999988E-2</v>
      </c>
      <c r="N6" s="3"/>
      <c r="O6" s="70">
        <v>1.8166176778876808</v>
      </c>
      <c r="P6" s="70">
        <v>1.8023713543836002</v>
      </c>
      <c r="Q6" s="70">
        <v>1.8288019225476</v>
      </c>
      <c r="R6" s="70">
        <v>1.7807111814491998</v>
      </c>
      <c r="S6" s="70">
        <v>1.8218526170644802</v>
      </c>
      <c r="T6" s="68">
        <v>1.9309568066303968</v>
      </c>
      <c r="U6" s="68">
        <v>1.9157105270597807</v>
      </c>
      <c r="V6" s="68">
        <v>1.9431715038062516</v>
      </c>
      <c r="W6" s="68">
        <v>1.891801716459619</v>
      </c>
      <c r="X6" s="68">
        <v>1.9309438549564546</v>
      </c>
      <c r="Y6">
        <v>1.37</v>
      </c>
      <c r="Z6">
        <v>1.37</v>
      </c>
      <c r="AA6">
        <v>1.53</v>
      </c>
      <c r="AB6" s="73">
        <v>123.582393</v>
      </c>
      <c r="AC6" s="73">
        <v>123.20593043478262</v>
      </c>
      <c r="AD6" s="73">
        <v>123.20593043478262</v>
      </c>
      <c r="AE6" s="73">
        <v>123.20593043478262</v>
      </c>
      <c r="AF6" s="73">
        <v>123.20593043478262</v>
      </c>
      <c r="AG6" s="29">
        <v>130.94011841474654</v>
      </c>
      <c r="AH6" s="29">
        <v>130.54124239631335</v>
      </c>
      <c r="AI6" s="29">
        <v>130.54124239631335</v>
      </c>
      <c r="AJ6" s="29">
        <v>130.54124239631335</v>
      </c>
      <c r="AK6" s="29">
        <v>130.54124239631335</v>
      </c>
    </row>
    <row r="7" spans="1:38">
      <c r="A7" t="s">
        <v>1</v>
      </c>
      <c r="B7">
        <v>7</v>
      </c>
      <c r="C7">
        <v>261</v>
      </c>
      <c r="D7" s="47">
        <v>25</v>
      </c>
      <c r="E7">
        <v>13</v>
      </c>
      <c r="F7">
        <v>6</v>
      </c>
      <c r="G7" s="3">
        <v>0.1152073732718894</v>
      </c>
      <c r="H7" s="3">
        <v>5.9907834101382486E-2</v>
      </c>
      <c r="I7" s="3">
        <v>2.76E-2</v>
      </c>
      <c r="J7">
        <v>4.4000000000000004E-2</v>
      </c>
      <c r="K7" s="3">
        <v>0.08</v>
      </c>
      <c r="L7" s="3">
        <v>0.17699999999999999</v>
      </c>
      <c r="M7" s="3">
        <v>1.7999999999999988E-2</v>
      </c>
      <c r="N7" s="3"/>
      <c r="O7" s="70">
        <v>1.8086010407417452</v>
      </c>
      <c r="P7" s="70">
        <v>1.8027692566884002</v>
      </c>
      <c r="Q7" s="70">
        <v>1.8291364654563003</v>
      </c>
      <c r="R7" s="70">
        <v>1.7809792406406002</v>
      </c>
      <c r="S7" s="70">
        <v>1.8215293000905004</v>
      </c>
      <c r="T7" s="68">
        <v>1.9218979101594378</v>
      </c>
      <c r="U7" s="68">
        <v>1.9157701104873288</v>
      </c>
      <c r="V7" s="68">
        <v>1.9433656153412127</v>
      </c>
      <c r="W7" s="68">
        <v>1.891863113707974</v>
      </c>
      <c r="X7" s="68">
        <v>1.9353738478463998</v>
      </c>
      <c r="Y7">
        <v>1.37</v>
      </c>
      <c r="Z7">
        <v>1.37</v>
      </c>
      <c r="AA7">
        <v>1.53</v>
      </c>
      <c r="AB7" s="73">
        <v>123.582393</v>
      </c>
      <c r="AC7" s="73">
        <v>123.20593043478262</v>
      </c>
      <c r="AD7" s="73">
        <v>123.20593043478262</v>
      </c>
      <c r="AE7" s="73">
        <v>123.20593043478262</v>
      </c>
      <c r="AF7" s="73">
        <v>123.20593043478262</v>
      </c>
      <c r="AG7" s="29">
        <v>135.29178942857143</v>
      </c>
      <c r="AH7" s="29">
        <v>134.87965714285713</v>
      </c>
      <c r="AI7" s="29">
        <v>134.87965714285713</v>
      </c>
      <c r="AJ7" s="29">
        <v>134.87965714285713</v>
      </c>
      <c r="AK7" s="29">
        <v>134.87965714285713</v>
      </c>
    </row>
    <row r="8" spans="1:38">
      <c r="A8" t="s">
        <v>91</v>
      </c>
      <c r="B8">
        <v>7</v>
      </c>
      <c r="C8">
        <v>261</v>
      </c>
      <c r="D8" s="47">
        <v>24</v>
      </c>
      <c r="E8">
        <v>23</v>
      </c>
      <c r="F8">
        <v>6</v>
      </c>
      <c r="G8" s="3">
        <v>0.11538461538461539</v>
      </c>
      <c r="H8" s="3">
        <v>0.11057692307692307</v>
      </c>
      <c r="I8" s="3">
        <v>2.8799999999999999E-2</v>
      </c>
      <c r="J8">
        <v>4.4000000000000004E-2</v>
      </c>
      <c r="K8" s="3">
        <v>0.08</v>
      </c>
      <c r="L8" s="3">
        <v>0.13300000000000001</v>
      </c>
      <c r="M8" s="3">
        <v>0</v>
      </c>
      <c r="N8" s="3"/>
      <c r="O8" s="70">
        <v>1.8086010407417452</v>
      </c>
      <c r="P8" s="70">
        <v>1.7947056767498184</v>
      </c>
      <c r="Q8" s="70">
        <v>1.8208954516385456</v>
      </c>
      <c r="R8" s="70">
        <v>1.7729578930922181</v>
      </c>
      <c r="S8" s="70">
        <v>1.8133209579207272</v>
      </c>
      <c r="T8" s="68">
        <v>2.0189842877693125</v>
      </c>
      <c r="U8" s="68">
        <v>2.0023939924064997</v>
      </c>
      <c r="V8" s="68">
        <v>1.9452120702186328</v>
      </c>
      <c r="W8" s="68">
        <v>1.9768876038890999</v>
      </c>
      <c r="X8" s="68">
        <v>2.0180683093725</v>
      </c>
      <c r="Y8">
        <v>1.37</v>
      </c>
      <c r="Z8">
        <v>1.37</v>
      </c>
      <c r="AA8">
        <v>1.53</v>
      </c>
      <c r="AB8" s="73">
        <v>123.582393</v>
      </c>
      <c r="AC8" s="73">
        <v>123.20593043478262</v>
      </c>
      <c r="AD8" s="73">
        <v>123.20593043478262</v>
      </c>
      <c r="AE8" s="73">
        <v>123.20593043478262</v>
      </c>
      <c r="AF8" s="73">
        <v>123.20593043478262</v>
      </c>
      <c r="AG8" s="29">
        <v>132.15680560465114</v>
      </c>
      <c r="AH8" s="29">
        <v>131.75422325581394</v>
      </c>
      <c r="AI8" s="29">
        <v>131.75422325581394</v>
      </c>
      <c r="AJ8" s="29">
        <v>131.75422325581394</v>
      </c>
      <c r="AK8" s="29">
        <v>131.75422325581394</v>
      </c>
    </row>
    <row r="9" spans="1:38">
      <c r="A9" t="s">
        <v>71</v>
      </c>
      <c r="B9">
        <v>9</v>
      </c>
      <c r="C9">
        <v>261</v>
      </c>
      <c r="D9" s="47">
        <v>25</v>
      </c>
      <c r="E9">
        <v>12</v>
      </c>
      <c r="F9">
        <v>6</v>
      </c>
      <c r="G9" s="3">
        <v>0.11467889908256881</v>
      </c>
      <c r="H9" s="3">
        <v>5.5045871559633031E-2</v>
      </c>
      <c r="I9" s="3">
        <v>2.75E-2</v>
      </c>
      <c r="J9">
        <v>4.4000000000000004E-2</v>
      </c>
      <c r="K9" s="3">
        <v>0.08</v>
      </c>
      <c r="L9" s="3">
        <v>0.128</v>
      </c>
      <c r="M9" s="3">
        <v>0</v>
      </c>
      <c r="N9" s="3"/>
      <c r="O9" s="70">
        <v>1.8083423827931961</v>
      </c>
      <c r="P9" s="70">
        <v>1.8025113866760001</v>
      </c>
      <c r="Q9" s="70">
        <v>1.8288785954439002</v>
      </c>
      <c r="R9" s="70">
        <v>1.7806569031251001</v>
      </c>
      <c r="S9" s="70">
        <v>1.8212714300781001</v>
      </c>
      <c r="T9" s="68">
        <v>1.9124858987557269</v>
      </c>
      <c r="U9" s="68">
        <v>1.9063880114808303</v>
      </c>
      <c r="V9" s="68">
        <v>1.9338581672263897</v>
      </c>
      <c r="W9" s="68">
        <v>1.8827256000960415</v>
      </c>
      <c r="X9" s="68">
        <v>1.9259027013297796</v>
      </c>
      <c r="Y9">
        <v>1.37</v>
      </c>
      <c r="Z9">
        <v>1.37</v>
      </c>
      <c r="AA9">
        <v>1.53</v>
      </c>
      <c r="AB9" s="73">
        <v>123.582393</v>
      </c>
      <c r="AC9" s="73">
        <v>122.67677922077922</v>
      </c>
      <c r="AD9" s="73">
        <v>122.67677922077922</v>
      </c>
      <c r="AE9" s="73">
        <v>122.67677922077922</v>
      </c>
      <c r="AF9" s="73">
        <v>122.67677922077922</v>
      </c>
      <c r="AG9" s="29">
        <v>125.48165215231788</v>
      </c>
      <c r="AH9" s="29">
        <v>124.55414505494505</v>
      </c>
      <c r="AI9" s="29">
        <v>124.55414505494505</v>
      </c>
      <c r="AJ9" s="29">
        <v>124.55414505494505</v>
      </c>
      <c r="AK9" s="29">
        <v>124.55414505494505</v>
      </c>
    </row>
    <row r="10" spans="1:38">
      <c r="A10" t="s">
        <v>55</v>
      </c>
      <c r="B10">
        <v>7</v>
      </c>
      <c r="C10">
        <v>261</v>
      </c>
      <c r="D10" s="47">
        <v>20</v>
      </c>
      <c r="E10">
        <v>0</v>
      </c>
      <c r="F10">
        <v>6</v>
      </c>
      <c r="G10" s="3">
        <v>8.5106382978723402E-2</v>
      </c>
      <c r="H10" s="3">
        <v>0</v>
      </c>
      <c r="I10" s="3">
        <v>2.5499999999999998E-2</v>
      </c>
      <c r="J10">
        <v>0.04</v>
      </c>
      <c r="K10" s="3">
        <v>0.08</v>
      </c>
      <c r="L10" s="3">
        <v>0.159</v>
      </c>
      <c r="M10" s="3">
        <v>0</v>
      </c>
      <c r="N10" s="3"/>
      <c r="O10" s="70">
        <v>1.8034278817707652</v>
      </c>
      <c r="P10" s="70">
        <v>1.7577539746191959</v>
      </c>
      <c r="Q10" s="70">
        <v>1.7883955984498083</v>
      </c>
      <c r="R10" s="70">
        <v>1.7415118947715851</v>
      </c>
      <c r="S10" s="70">
        <v>1.7759016908747234</v>
      </c>
      <c r="T10" s="68">
        <v>1.8034278817707652</v>
      </c>
      <c r="U10" s="68">
        <v>1.7577539746191959</v>
      </c>
      <c r="V10" s="68">
        <v>1.7883955984498083</v>
      </c>
      <c r="W10" s="68">
        <v>1.7415118947715851</v>
      </c>
      <c r="X10" s="68">
        <v>1.7759016908747234</v>
      </c>
      <c r="Y10">
        <v>1.37</v>
      </c>
      <c r="Z10">
        <v>1.37</v>
      </c>
      <c r="AA10">
        <v>1.53</v>
      </c>
      <c r="AB10" s="73">
        <v>123.582393</v>
      </c>
      <c r="AC10" s="73">
        <v>123.20593043478262</v>
      </c>
      <c r="AD10" s="73">
        <v>123.20593043478262</v>
      </c>
      <c r="AE10" s="73">
        <v>123.20593043478262</v>
      </c>
      <c r="AF10" s="73">
        <v>123.20593043478262</v>
      </c>
      <c r="AG10" s="29">
        <v>130.34533940366973</v>
      </c>
      <c r="AH10" s="29">
        <v>129.94827522935779</v>
      </c>
      <c r="AI10" s="29">
        <v>129.94827522935779</v>
      </c>
      <c r="AJ10" s="29">
        <v>129.94827522935779</v>
      </c>
      <c r="AK10" s="29">
        <v>129.94827522935779</v>
      </c>
    </row>
    <row r="11" spans="1:38">
      <c r="A11" s="55" t="s">
        <v>56</v>
      </c>
      <c r="B11">
        <v>7</v>
      </c>
      <c r="C11">
        <v>261</v>
      </c>
      <c r="D11" s="47">
        <v>24</v>
      </c>
      <c r="E11">
        <v>0</v>
      </c>
      <c r="F11">
        <v>6</v>
      </c>
      <c r="G11" s="3">
        <v>0.1038961038961039</v>
      </c>
      <c r="H11" s="3">
        <v>0</v>
      </c>
      <c r="I11" s="3">
        <v>2.5999999999999999E-2</v>
      </c>
      <c r="J11">
        <v>4.4000000000000004E-2</v>
      </c>
      <c r="K11" s="3">
        <v>0.08</v>
      </c>
      <c r="L11" s="3">
        <v>0.1507</v>
      </c>
      <c r="M11" s="3">
        <v>0</v>
      </c>
      <c r="N11" s="3"/>
      <c r="O11" s="70">
        <v>1.8086010407417452</v>
      </c>
      <c r="P11" s="70">
        <v>1.794641486125091</v>
      </c>
      <c r="Q11" s="70">
        <v>1.8208954516385456</v>
      </c>
      <c r="R11" s="70">
        <v>1.7730092455920001</v>
      </c>
      <c r="S11" s="70">
        <v>1.8133209579207272</v>
      </c>
      <c r="T11" s="68">
        <v>1.8086010407417452</v>
      </c>
      <c r="U11" s="68">
        <v>1.794641486125091</v>
      </c>
      <c r="V11" s="68">
        <v>1.8208954516385456</v>
      </c>
      <c r="W11" s="68">
        <v>1.7730092455920001</v>
      </c>
      <c r="X11" s="68">
        <v>1.8133209579207272</v>
      </c>
      <c r="Y11">
        <v>1.37</v>
      </c>
      <c r="Z11">
        <v>1.37</v>
      </c>
      <c r="AA11">
        <v>1.53</v>
      </c>
      <c r="AB11" s="73">
        <v>123.582393</v>
      </c>
      <c r="AC11" s="73">
        <v>123.20593043478262</v>
      </c>
      <c r="AD11" s="73">
        <v>123.20593043478262</v>
      </c>
      <c r="AE11" s="73">
        <v>123.20593043478262</v>
      </c>
      <c r="AF11" s="73">
        <v>123.20593043478262</v>
      </c>
      <c r="AG11" s="29">
        <v>129.17170718181819</v>
      </c>
      <c r="AH11" s="29">
        <v>128.7782181818182</v>
      </c>
      <c r="AI11" s="29">
        <v>128.7782181818182</v>
      </c>
      <c r="AJ11" s="29">
        <v>128.7782181818182</v>
      </c>
      <c r="AK11" s="29">
        <v>128.7782181818182</v>
      </c>
    </row>
    <row r="12" spans="1:38">
      <c r="A12" t="s">
        <v>61</v>
      </c>
      <c r="B12">
        <v>9</v>
      </c>
      <c r="C12">
        <v>261</v>
      </c>
      <c r="D12" s="47">
        <v>25</v>
      </c>
      <c r="E12">
        <v>0</v>
      </c>
      <c r="F12">
        <v>6</v>
      </c>
      <c r="G12" s="3">
        <v>0.10869565217391304</v>
      </c>
      <c r="H12" s="3">
        <v>0</v>
      </c>
      <c r="I12" s="3">
        <v>2.6100000000000002E-2</v>
      </c>
      <c r="J12">
        <v>4.4000000000000004E-2</v>
      </c>
      <c r="K12" s="3">
        <v>0.08</v>
      </c>
      <c r="L12" s="3">
        <v>0.159</v>
      </c>
      <c r="M12" s="3">
        <v>0</v>
      </c>
      <c r="N12" s="3"/>
      <c r="O12" s="70">
        <v>1.8083423827931961</v>
      </c>
      <c r="P12" s="70">
        <v>1.8025758541791004</v>
      </c>
      <c r="Q12" s="70">
        <v>1.8288785954439002</v>
      </c>
      <c r="R12" s="70">
        <v>1.7806569031251001</v>
      </c>
      <c r="S12" s="70">
        <v>1.8212714300781001</v>
      </c>
      <c r="T12" s="68">
        <v>1.8083423827931961</v>
      </c>
      <c r="U12" s="68">
        <v>1.8025758541791004</v>
      </c>
      <c r="V12" s="68">
        <v>1.8288785954439002</v>
      </c>
      <c r="W12" s="68">
        <v>1.7806569031251001</v>
      </c>
      <c r="X12" s="68">
        <v>1.8212714300781001</v>
      </c>
      <c r="Y12">
        <v>1.37</v>
      </c>
      <c r="Z12">
        <v>1.37</v>
      </c>
      <c r="AA12">
        <v>1.53</v>
      </c>
      <c r="AB12" s="73">
        <v>123.582393</v>
      </c>
      <c r="AC12" s="73">
        <v>123.20593043478262</v>
      </c>
      <c r="AD12" s="73">
        <v>123.20593043478262</v>
      </c>
      <c r="AE12" s="73">
        <v>123.20593043478262</v>
      </c>
      <c r="AF12" s="73">
        <v>123.20593043478262</v>
      </c>
      <c r="AG12" s="29">
        <v>132.4671360839161</v>
      </c>
      <c r="AH12" s="29">
        <v>132.0636083916084</v>
      </c>
      <c r="AI12" s="29">
        <v>132.0636083916084</v>
      </c>
      <c r="AJ12" s="29">
        <v>132.0636083916084</v>
      </c>
      <c r="AK12" s="29">
        <v>132.0636083916084</v>
      </c>
    </row>
    <row r="13" spans="1:38">
      <c r="A13" t="s">
        <v>63</v>
      </c>
      <c r="B13">
        <v>9</v>
      </c>
      <c r="C13">
        <v>261</v>
      </c>
      <c r="D13" s="47">
        <v>26</v>
      </c>
      <c r="E13">
        <v>0</v>
      </c>
      <c r="F13">
        <v>6</v>
      </c>
      <c r="G13" s="3">
        <v>0.11353711790393013</v>
      </c>
      <c r="H13" s="3">
        <v>0</v>
      </c>
      <c r="I13" s="3">
        <v>2.6200000000000001E-2</v>
      </c>
      <c r="J13">
        <v>4.4000000000000004E-2</v>
      </c>
      <c r="K13" s="3">
        <v>0.08</v>
      </c>
      <c r="L13" s="3">
        <v>0.107</v>
      </c>
      <c r="M13" s="3">
        <v>0</v>
      </c>
      <c r="N13" s="3"/>
      <c r="O13" s="70">
        <v>1.8165650587067794</v>
      </c>
      <c r="P13" s="70">
        <v>1.8106558206469408</v>
      </c>
      <c r="Q13" s="70">
        <v>1.8371890389075329</v>
      </c>
      <c r="R13" s="70">
        <v>1.7887584697056709</v>
      </c>
      <c r="S13" s="70">
        <v>1.8295618717257427</v>
      </c>
      <c r="T13" s="68">
        <v>1.8165650587067794</v>
      </c>
      <c r="U13" s="68">
        <v>1.8106558206469408</v>
      </c>
      <c r="V13" s="68">
        <v>1.8371890389075329</v>
      </c>
      <c r="W13" s="68">
        <v>1.7887584697056709</v>
      </c>
      <c r="X13" s="68">
        <v>1.8295618717257427</v>
      </c>
      <c r="Y13">
        <v>1.37</v>
      </c>
      <c r="Z13">
        <v>1.37</v>
      </c>
      <c r="AA13">
        <v>1.53</v>
      </c>
      <c r="AB13" s="73">
        <v>123.582393</v>
      </c>
      <c r="AC13" s="73">
        <v>122.67677922077922</v>
      </c>
      <c r="AD13" s="73">
        <v>122.67677922077922</v>
      </c>
      <c r="AE13" s="73">
        <v>122.67677922077922</v>
      </c>
      <c r="AF13" s="73">
        <v>122.67677922077922</v>
      </c>
      <c r="AG13" s="29">
        <v>136.57829746153848</v>
      </c>
      <c r="AH13" s="29">
        <v>135.51793492822966</v>
      </c>
      <c r="AI13" s="29">
        <v>135.51793492822966</v>
      </c>
      <c r="AJ13" s="29">
        <v>135.51793492822966</v>
      </c>
      <c r="AK13" s="29">
        <v>135.51793492822966</v>
      </c>
    </row>
    <row r="14" spans="1:38">
      <c r="A14" t="s">
        <v>67</v>
      </c>
      <c r="B14">
        <v>9</v>
      </c>
      <c r="C14">
        <v>261</v>
      </c>
      <c r="D14" s="47">
        <v>25.5</v>
      </c>
      <c r="E14">
        <v>0</v>
      </c>
      <c r="F14">
        <v>6</v>
      </c>
      <c r="G14" s="3">
        <v>0.1111111111111111</v>
      </c>
      <c r="H14" s="3">
        <v>0</v>
      </c>
      <c r="I14" s="3">
        <v>2.6100000000000002E-2</v>
      </c>
      <c r="J14">
        <v>4.4000000000000004E-2</v>
      </c>
      <c r="K14" s="3">
        <v>8.3299999999999999E-2</v>
      </c>
      <c r="L14" s="3">
        <v>0.19089999999999999</v>
      </c>
      <c r="M14" s="3">
        <v>3.1899999999999984E-2</v>
      </c>
      <c r="N14" s="3"/>
      <c r="O14" s="70">
        <v>1.8123008718370541</v>
      </c>
      <c r="P14" s="70">
        <v>1.8123008718370541</v>
      </c>
      <c r="Q14" s="70">
        <v>1.8388046461632725</v>
      </c>
      <c r="R14" s="70">
        <v>1.7903979972104969</v>
      </c>
      <c r="S14" s="70">
        <v>1.8312228818694647</v>
      </c>
      <c r="T14" s="68">
        <v>1.8123008718370541</v>
      </c>
      <c r="U14" s="68">
        <v>1.8123008718370541</v>
      </c>
      <c r="V14" s="68">
        <v>1.8388046461632725</v>
      </c>
      <c r="W14" s="68">
        <v>1.7903979972104969</v>
      </c>
      <c r="X14" s="68">
        <v>1.8312228818694647</v>
      </c>
      <c r="Y14">
        <v>1.37</v>
      </c>
      <c r="Z14">
        <v>1.37</v>
      </c>
      <c r="AA14">
        <v>1.53</v>
      </c>
      <c r="AB14" s="73">
        <v>123.582393</v>
      </c>
      <c r="AC14" s="73">
        <v>123.05162493506494</v>
      </c>
      <c r="AD14" s="73">
        <v>123.05162493506494</v>
      </c>
      <c r="AE14" s="73">
        <v>123.05162493506494</v>
      </c>
      <c r="AF14" s="73">
        <v>123.05162493506494</v>
      </c>
      <c r="AG14" s="29">
        <v>126.316391</v>
      </c>
      <c r="AH14" s="29">
        <v>125.75147721238939</v>
      </c>
      <c r="AI14" s="29">
        <v>125.75147721238939</v>
      </c>
      <c r="AJ14" s="29">
        <v>125.75147721238939</v>
      </c>
      <c r="AK14" s="29">
        <v>125.75147721238939</v>
      </c>
    </row>
    <row r="15" spans="1:38">
      <c r="A15" t="s">
        <v>74</v>
      </c>
      <c r="B15">
        <v>9</v>
      </c>
      <c r="C15">
        <v>261</v>
      </c>
      <c r="D15" s="47">
        <v>25</v>
      </c>
      <c r="E15">
        <v>0</v>
      </c>
      <c r="F15">
        <v>6</v>
      </c>
      <c r="G15" s="3">
        <v>0.10869565217391304</v>
      </c>
      <c r="H15" s="3">
        <v>0</v>
      </c>
      <c r="I15" s="3">
        <v>2.6100000000000002E-2</v>
      </c>
      <c r="J15">
        <v>4.4000000000000004E-2</v>
      </c>
      <c r="K15" s="3">
        <v>0.08</v>
      </c>
      <c r="L15" s="3">
        <v>8.4000000000000005E-2</v>
      </c>
      <c r="M15" s="3">
        <v>0</v>
      </c>
      <c r="N15" s="3"/>
      <c r="O15" s="70">
        <v>1.8082777183060592</v>
      </c>
      <c r="P15" s="70">
        <v>1.8025113866760001</v>
      </c>
      <c r="Q15" s="70">
        <v>1.8288785954439002</v>
      </c>
      <c r="R15" s="70">
        <v>1.7806569031251001</v>
      </c>
      <c r="S15" s="70">
        <v>1.8212714300781001</v>
      </c>
      <c r="T15" s="68">
        <v>1.8082777183060592</v>
      </c>
      <c r="U15" s="68">
        <v>1.8025113866760001</v>
      </c>
      <c r="V15" s="68">
        <v>1.8288785954439002</v>
      </c>
      <c r="W15" s="68">
        <v>1.7806569031251001</v>
      </c>
      <c r="X15" s="68">
        <v>1.8212714300781001</v>
      </c>
      <c r="Y15">
        <v>1.37</v>
      </c>
      <c r="Z15">
        <v>1.37</v>
      </c>
      <c r="AA15">
        <v>1.53</v>
      </c>
      <c r="AB15" s="73">
        <v>123.582393</v>
      </c>
      <c r="AC15" s="73">
        <v>123.20593043478262</v>
      </c>
      <c r="AD15" s="73">
        <v>123.20593043478262</v>
      </c>
      <c r="AE15" s="73">
        <v>123.20593043478262</v>
      </c>
      <c r="AF15" s="73">
        <v>123.20593043478262</v>
      </c>
      <c r="AG15" s="29">
        <v>130.34533940366973</v>
      </c>
      <c r="AH15" s="29">
        <v>129.94827522935779</v>
      </c>
      <c r="AI15" s="29">
        <v>129.94827522935779</v>
      </c>
      <c r="AJ15" s="29">
        <v>129.94827522935779</v>
      </c>
      <c r="AK15" s="29">
        <v>129.94827522935779</v>
      </c>
    </row>
    <row r="16" spans="1:38">
      <c r="A16" t="s">
        <v>77</v>
      </c>
      <c r="B16">
        <v>10</v>
      </c>
      <c r="C16">
        <v>261</v>
      </c>
      <c r="D16" s="47">
        <v>32.972222222222221</v>
      </c>
      <c r="E16">
        <v>0</v>
      </c>
      <c r="F16">
        <v>7</v>
      </c>
      <c r="G16" s="3">
        <v>0.14917682543672239</v>
      </c>
      <c r="H16" s="3">
        <v>0</v>
      </c>
      <c r="I16" s="3">
        <v>3.1699999999999999E-2</v>
      </c>
      <c r="J16">
        <v>4.4000000000000004E-2</v>
      </c>
      <c r="K16" s="3">
        <v>0.08</v>
      </c>
      <c r="L16" s="3">
        <v>0.129</v>
      </c>
      <c r="M16" s="3">
        <v>0</v>
      </c>
      <c r="N16" s="3"/>
      <c r="O16" s="70">
        <v>1.8851558508677444</v>
      </c>
      <c r="P16" s="70">
        <v>1.8792119846362099</v>
      </c>
      <c r="Q16" s="70">
        <v>1.906375981130523</v>
      </c>
      <c r="R16" s="70">
        <v>1.8560052123225494</v>
      </c>
      <c r="S16" s="70">
        <v>1.8941689506071524</v>
      </c>
      <c r="T16" s="68">
        <v>1.8851558508677444</v>
      </c>
      <c r="U16" s="68">
        <v>1.8792119846362099</v>
      </c>
      <c r="V16" s="68">
        <v>1.906375981130523</v>
      </c>
      <c r="W16" s="68">
        <v>1.8560052123225494</v>
      </c>
      <c r="X16" s="68">
        <v>1.8941689506071524</v>
      </c>
      <c r="Y16">
        <v>1.37</v>
      </c>
      <c r="Z16">
        <v>1.37</v>
      </c>
      <c r="AA16">
        <v>1.53</v>
      </c>
      <c r="AB16" s="73">
        <v>123.582393</v>
      </c>
      <c r="AC16" s="73">
        <v>120.59348936170213</v>
      </c>
      <c r="AD16" s="73">
        <v>120.59348936170213</v>
      </c>
      <c r="AE16" s="73">
        <v>120.59348936170213</v>
      </c>
      <c r="AF16" s="73">
        <v>120.59348936170213</v>
      </c>
      <c r="AG16" s="29">
        <v>129.17170718181819</v>
      </c>
      <c r="AH16" s="29">
        <v>125.9316</v>
      </c>
      <c r="AI16" s="29">
        <v>125.9316</v>
      </c>
      <c r="AJ16" s="29">
        <v>125.9316</v>
      </c>
      <c r="AK16" s="29">
        <v>125.9316</v>
      </c>
    </row>
    <row r="17" spans="1:37">
      <c r="A17" t="s">
        <v>80</v>
      </c>
      <c r="B17">
        <v>9</v>
      </c>
      <c r="C17">
        <v>261</v>
      </c>
      <c r="D17" s="47">
        <v>25</v>
      </c>
      <c r="E17">
        <v>0</v>
      </c>
      <c r="F17">
        <v>6</v>
      </c>
      <c r="G17" s="3">
        <v>0.10869565217391304</v>
      </c>
      <c r="H17" s="3">
        <v>0</v>
      </c>
      <c r="I17" s="3">
        <v>2.6100000000000002E-2</v>
      </c>
      <c r="J17">
        <v>4.4000000000000004E-2</v>
      </c>
      <c r="K17" s="3">
        <v>0.08</v>
      </c>
      <c r="L17" s="3">
        <v>0.17599999999999999</v>
      </c>
      <c r="M17" s="3">
        <v>1.6999999999999987E-2</v>
      </c>
      <c r="N17" s="3"/>
      <c r="O17" s="70">
        <v>1.8083423827931961</v>
      </c>
      <c r="P17" s="70">
        <v>1.8025113866760001</v>
      </c>
      <c r="Q17" s="70">
        <v>1.8288785954439002</v>
      </c>
      <c r="R17" s="70">
        <v>1.7806569031251001</v>
      </c>
      <c r="S17" s="70">
        <v>1.8212714300781001</v>
      </c>
      <c r="T17" s="68">
        <v>1.8083423827931961</v>
      </c>
      <c r="U17" s="68">
        <v>1.8025113866760001</v>
      </c>
      <c r="V17" s="68">
        <v>1.8288785954439002</v>
      </c>
      <c r="W17" s="68">
        <v>1.7806569031251001</v>
      </c>
      <c r="X17" s="68">
        <v>1.8212714300781001</v>
      </c>
      <c r="Y17">
        <v>1.37</v>
      </c>
      <c r="Z17">
        <v>1.37</v>
      </c>
      <c r="AA17">
        <v>1.53</v>
      </c>
      <c r="AB17" s="73">
        <v>123.582393</v>
      </c>
      <c r="AC17" s="73">
        <v>123.20593043478262</v>
      </c>
      <c r="AD17" s="73">
        <v>123.20593043478262</v>
      </c>
      <c r="AE17" s="73">
        <v>123.20593043478262</v>
      </c>
      <c r="AF17" s="73">
        <v>123.20593043478262</v>
      </c>
      <c r="AG17" s="29">
        <v>135.29178942857143</v>
      </c>
      <c r="AH17" s="29">
        <v>134.87965714285713</v>
      </c>
      <c r="AI17" s="29">
        <v>134.87965714285713</v>
      </c>
      <c r="AJ17" s="29">
        <v>134.87965714285713</v>
      </c>
      <c r="AK17" s="29">
        <v>134.87965714285713</v>
      </c>
    </row>
    <row r="18" spans="1:37">
      <c r="A18" t="s">
        <v>90</v>
      </c>
      <c r="B18">
        <v>10</v>
      </c>
      <c r="C18">
        <v>261</v>
      </c>
      <c r="D18" s="47">
        <v>27.916666666666664</v>
      </c>
      <c r="E18">
        <v>0</v>
      </c>
      <c r="F18">
        <v>7</v>
      </c>
      <c r="G18" s="3">
        <v>0.12347954294139328</v>
      </c>
      <c r="H18" s="3">
        <v>0</v>
      </c>
      <c r="I18" s="3">
        <v>3.1E-2</v>
      </c>
      <c r="J18">
        <v>4.4000000000000004E-2</v>
      </c>
      <c r="K18" s="3">
        <v>8.3299999999999999E-2</v>
      </c>
      <c r="L18" s="3">
        <v>0.1295</v>
      </c>
      <c r="M18" s="3">
        <v>0</v>
      </c>
      <c r="N18" s="3"/>
      <c r="O18" s="70">
        <v>1.8413863242446242</v>
      </c>
      <c r="P18" s="70">
        <v>1.8413863242446242</v>
      </c>
      <c r="Q18" s="70">
        <v>1.8681588828831255</v>
      </c>
      <c r="R18" s="70">
        <v>1.8188894813592007</v>
      </c>
      <c r="S18" s="70">
        <v>1.8562526590168631</v>
      </c>
      <c r="T18" s="68">
        <v>1.8413863242446242</v>
      </c>
      <c r="U18" s="68">
        <v>1.8413863242446242</v>
      </c>
      <c r="V18" s="68">
        <v>1.8681588828831255</v>
      </c>
      <c r="W18" s="68">
        <v>1.8188894813592007</v>
      </c>
      <c r="X18" s="68">
        <v>1.8562526590168631</v>
      </c>
      <c r="Y18">
        <v>1.37</v>
      </c>
      <c r="Z18">
        <v>1.37</v>
      </c>
      <c r="AA18">
        <v>1.53</v>
      </c>
      <c r="AB18" s="73">
        <v>123.582393</v>
      </c>
      <c r="AC18" s="73">
        <v>122.67677922077922</v>
      </c>
      <c r="AD18" s="73">
        <v>122.67677922077922</v>
      </c>
      <c r="AE18" s="73">
        <v>122.67677922077922</v>
      </c>
      <c r="AF18" s="73">
        <v>122.67677922077922</v>
      </c>
      <c r="AG18" s="29">
        <v>137.24155000000002</v>
      </c>
      <c r="AH18" s="29">
        <v>136.16224615384616</v>
      </c>
      <c r="AI18" s="29">
        <v>136.16224615384616</v>
      </c>
      <c r="AJ18" s="29">
        <v>136.16224615384616</v>
      </c>
      <c r="AK18" s="29">
        <v>136.16224615384616</v>
      </c>
    </row>
    <row r="19" spans="1:37">
      <c r="A19" t="s">
        <v>59</v>
      </c>
      <c r="B19">
        <v>7</v>
      </c>
      <c r="C19">
        <v>261</v>
      </c>
      <c r="D19" s="47">
        <v>27</v>
      </c>
      <c r="E19">
        <v>13</v>
      </c>
      <c r="F19">
        <v>6</v>
      </c>
      <c r="G19" s="3">
        <v>0.12558139534883722</v>
      </c>
      <c r="H19" s="3">
        <v>6.0465116279069767E-2</v>
      </c>
      <c r="I19" s="3">
        <v>2.7900000000000001E-2</v>
      </c>
      <c r="J19">
        <v>4.3999999999999997E-2</v>
      </c>
      <c r="K19" s="3">
        <v>0.08</v>
      </c>
      <c r="L19" s="3">
        <v>0.1709</v>
      </c>
      <c r="M19" s="3">
        <v>1.1899999999999994E-2</v>
      </c>
      <c r="N19" s="3"/>
      <c r="O19" s="70">
        <v>1.825119353203825</v>
      </c>
      <c r="P19" s="70">
        <v>1.8192994742070474</v>
      </c>
      <c r="Q19" s="70">
        <v>1.8458310603483949</v>
      </c>
      <c r="R19" s="70">
        <v>1.7971898190892579</v>
      </c>
      <c r="S19" s="70">
        <v>1.8381577094545738</v>
      </c>
      <c r="T19" s="68">
        <v>1.9407241770683654</v>
      </c>
      <c r="U19" s="68">
        <v>1.9345364891573655</v>
      </c>
      <c r="V19" s="68">
        <v>1.9621815884821256</v>
      </c>
      <c r="W19" s="68">
        <v>1.9102281050628251</v>
      </c>
      <c r="X19" s="68">
        <v>1.9541845023931677</v>
      </c>
      <c r="Y19">
        <v>1.37</v>
      </c>
      <c r="Z19">
        <v>1.37</v>
      </c>
      <c r="AA19">
        <v>1.53</v>
      </c>
      <c r="AB19" s="73">
        <v>123.582393</v>
      </c>
      <c r="AC19" s="73">
        <v>123.20593043478262</v>
      </c>
      <c r="AD19" s="73">
        <v>123.20593043478262</v>
      </c>
      <c r="AE19" s="73">
        <v>123.20593043478262</v>
      </c>
      <c r="AF19" s="73">
        <v>123.20593043478262</v>
      </c>
      <c r="AG19" s="29">
        <v>123.582393</v>
      </c>
      <c r="AH19" s="29">
        <v>123.20593043478262</v>
      </c>
      <c r="AI19" s="29">
        <v>123.20593043478262</v>
      </c>
      <c r="AJ19" s="29">
        <v>123.20593043478262</v>
      </c>
      <c r="AK19" s="29">
        <v>123.20593043478262</v>
      </c>
    </row>
    <row r="20" spans="1:37">
      <c r="A20" t="s">
        <v>64</v>
      </c>
      <c r="B20">
        <v>10</v>
      </c>
      <c r="C20">
        <v>261</v>
      </c>
      <c r="D20" s="47">
        <v>25</v>
      </c>
      <c r="E20">
        <v>7</v>
      </c>
      <c r="F20">
        <v>7</v>
      </c>
      <c r="G20" s="3">
        <v>0.11261261261261261</v>
      </c>
      <c r="H20" s="3">
        <v>3.1531531531531529E-2</v>
      </c>
      <c r="I20" s="3">
        <v>3.15E-2</v>
      </c>
      <c r="J20">
        <v>4.4000000000000004E-2</v>
      </c>
      <c r="K20" s="3">
        <v>0.08</v>
      </c>
      <c r="L20" s="3">
        <v>0.15049999999999999</v>
      </c>
      <c r="M20" s="3">
        <v>0</v>
      </c>
      <c r="N20" s="3"/>
      <c r="O20" s="70">
        <v>1.8166176778876808</v>
      </c>
      <c r="P20" s="70">
        <v>1.810824816185379</v>
      </c>
      <c r="Q20" s="70">
        <v>1.8372422554889738</v>
      </c>
      <c r="R20" s="70">
        <v>1.7889397806838716</v>
      </c>
      <c r="S20" s="70">
        <v>1.8296019176511695</v>
      </c>
      <c r="T20" s="68">
        <v>1.8765097098647163</v>
      </c>
      <c r="U20" s="68">
        <v>1.8704595172469596</v>
      </c>
      <c r="V20" s="68">
        <v>1.8975705294922296</v>
      </c>
      <c r="W20" s="68">
        <v>1.8473550585354728</v>
      </c>
      <c r="X20" s="68">
        <v>1.8898245259935809</v>
      </c>
      <c r="Y20">
        <v>1.37</v>
      </c>
      <c r="Z20">
        <v>1.37</v>
      </c>
      <c r="AA20">
        <v>1.53</v>
      </c>
      <c r="AB20" s="73">
        <v>123.582393</v>
      </c>
      <c r="AC20" s="73">
        <v>120.59348936170213</v>
      </c>
      <c r="AD20" s="73">
        <v>120.59348936170213</v>
      </c>
      <c r="AE20" s="73">
        <v>120.59348936170213</v>
      </c>
      <c r="AF20" s="73">
        <v>120.59348936170213</v>
      </c>
      <c r="AG20" s="29">
        <v>123.582393</v>
      </c>
      <c r="AH20" s="29">
        <v>120.59348936170213</v>
      </c>
      <c r="AI20" s="29">
        <v>120.59348936170213</v>
      </c>
      <c r="AJ20" s="29">
        <v>120.59348936170213</v>
      </c>
      <c r="AK20" s="29">
        <v>120.59348936170213</v>
      </c>
    </row>
    <row r="21" spans="1:37">
      <c r="A21" t="s">
        <v>68</v>
      </c>
      <c r="B21">
        <v>7</v>
      </c>
      <c r="C21">
        <v>261</v>
      </c>
      <c r="D21" s="47">
        <v>26</v>
      </c>
      <c r="E21">
        <v>13</v>
      </c>
      <c r="F21">
        <v>6</v>
      </c>
      <c r="G21" s="3">
        <v>0.12037037037037036</v>
      </c>
      <c r="H21" s="3">
        <v>6.0185185185185182E-2</v>
      </c>
      <c r="I21" s="3">
        <v>2.7799999999999998E-2</v>
      </c>
      <c r="J21">
        <v>4.4000000000000004E-2</v>
      </c>
      <c r="K21" s="3">
        <v>8.3299999999999999E-2</v>
      </c>
      <c r="L21" s="3">
        <v>0.19089999999999999</v>
      </c>
      <c r="M21" s="3">
        <v>3.1899999999999984E-2</v>
      </c>
      <c r="N21" s="3"/>
      <c r="O21" s="70">
        <v>1.8165650587067794</v>
      </c>
      <c r="P21" s="70">
        <v>1.8165650587067794</v>
      </c>
      <c r="Q21" s="70">
        <v>1.8430624504322222</v>
      </c>
      <c r="R21" s="70">
        <v>1.7944838989355765</v>
      </c>
      <c r="S21" s="70">
        <v>1.8353989890998639</v>
      </c>
      <c r="T21" s="68">
        <v>1.931141590364198</v>
      </c>
      <c r="U21" s="68">
        <v>1.931141590364198</v>
      </c>
      <c r="V21" s="68">
        <v>1.9588129116732842</v>
      </c>
      <c r="W21" s="68">
        <v>1.9069119756855952</v>
      </c>
      <c r="X21" s="68">
        <v>1.9508281522905628</v>
      </c>
      <c r="Y21">
        <v>1.37</v>
      </c>
      <c r="Z21">
        <v>1.37</v>
      </c>
      <c r="AA21">
        <v>1.53</v>
      </c>
      <c r="AB21" s="73">
        <v>123.582393</v>
      </c>
      <c r="AC21" s="73">
        <v>122.67677922077922</v>
      </c>
      <c r="AD21" s="73">
        <v>122.67677922077922</v>
      </c>
      <c r="AE21" s="73">
        <v>122.67677922077922</v>
      </c>
      <c r="AF21" s="73">
        <v>122.67677922077922</v>
      </c>
      <c r="AG21" s="29">
        <v>123.582393</v>
      </c>
      <c r="AH21" s="29">
        <v>122.67677922077922</v>
      </c>
      <c r="AI21" s="29">
        <v>122.67677922077922</v>
      </c>
      <c r="AJ21" s="29">
        <v>122.67677922077922</v>
      </c>
      <c r="AK21" s="29">
        <v>122.67677922077922</v>
      </c>
    </row>
    <row r="22" spans="1:37">
      <c r="A22" t="s">
        <v>72</v>
      </c>
      <c r="B22">
        <v>7</v>
      </c>
      <c r="C22">
        <v>261</v>
      </c>
      <c r="D22" s="47">
        <v>25</v>
      </c>
      <c r="E22">
        <v>10</v>
      </c>
      <c r="F22">
        <v>6</v>
      </c>
      <c r="G22" s="3">
        <v>0.11363636363636363</v>
      </c>
      <c r="H22" s="3">
        <v>4.5454545454545456E-2</v>
      </c>
      <c r="I22" s="3">
        <v>2.7300000000000001E-2</v>
      </c>
      <c r="J22">
        <v>0.04</v>
      </c>
      <c r="K22" s="3">
        <v>0.08</v>
      </c>
      <c r="L22" s="3">
        <v>0.175514</v>
      </c>
      <c r="M22" s="3">
        <v>1.6514000000000001E-2</v>
      </c>
      <c r="N22" s="3"/>
      <c r="O22" s="70">
        <v>1.8083423827931961</v>
      </c>
      <c r="P22" s="70">
        <v>1.8025113866760001</v>
      </c>
      <c r="Q22" s="70">
        <v>1.8288785954439002</v>
      </c>
      <c r="R22" s="70">
        <v>1.7806569031251001</v>
      </c>
      <c r="S22" s="70">
        <v>1.8212714300781001</v>
      </c>
      <c r="T22" s="68">
        <v>1.8890476380358912</v>
      </c>
      <c r="U22" s="68">
        <v>1.8830235984353185</v>
      </c>
      <c r="V22" s="68">
        <v>1.9156370685245185</v>
      </c>
      <c r="W22" s="68">
        <v>1.8649649001214641</v>
      </c>
      <c r="X22" s="68">
        <v>1.9024299608024462</v>
      </c>
      <c r="Y22">
        <v>1.37</v>
      </c>
      <c r="Z22">
        <v>1.37</v>
      </c>
      <c r="AA22">
        <v>1.53</v>
      </c>
      <c r="AB22" s="73">
        <v>123.582393</v>
      </c>
      <c r="AC22" s="73">
        <v>123.20593043478262</v>
      </c>
      <c r="AD22" s="73">
        <v>123.20593043478262</v>
      </c>
      <c r="AE22" s="73">
        <v>123.20593043478262</v>
      </c>
      <c r="AF22" s="73">
        <v>123.20593043478262</v>
      </c>
      <c r="AG22" s="29">
        <v>123.582393</v>
      </c>
      <c r="AH22" s="29">
        <v>123.20593043478262</v>
      </c>
      <c r="AI22" s="29">
        <v>123.20593043478262</v>
      </c>
      <c r="AJ22" s="29">
        <v>123.20593043478262</v>
      </c>
      <c r="AK22" s="29">
        <v>123.20593043478262</v>
      </c>
    </row>
    <row r="23" spans="1:37">
      <c r="A23" t="s">
        <v>73</v>
      </c>
      <c r="B23">
        <v>7</v>
      </c>
      <c r="C23">
        <v>261</v>
      </c>
      <c r="D23" s="47">
        <v>25</v>
      </c>
      <c r="E23">
        <v>15.5</v>
      </c>
      <c r="F23">
        <v>6</v>
      </c>
      <c r="G23" s="3">
        <v>0.11655011655011654</v>
      </c>
      <c r="H23" s="3">
        <v>7.2261072261072257E-2</v>
      </c>
      <c r="I23" s="3">
        <v>2.8000000000000001E-2</v>
      </c>
      <c r="J23">
        <v>4.4000000000000004E-2</v>
      </c>
      <c r="K23" s="3">
        <v>0.08</v>
      </c>
      <c r="L23" s="3">
        <v>0.14299999999999999</v>
      </c>
      <c r="M23" s="3">
        <v>0</v>
      </c>
      <c r="N23" s="3"/>
      <c r="O23" s="70">
        <v>1.8083423827931961</v>
      </c>
      <c r="P23" s="70">
        <v>1.8025113866760001</v>
      </c>
      <c r="Q23" s="70">
        <v>1.8288785954439002</v>
      </c>
      <c r="R23" s="70">
        <v>1.7806569031251001</v>
      </c>
      <c r="S23" s="70">
        <v>1.8212714300781001</v>
      </c>
      <c r="T23" s="68">
        <v>1.9452120702186328</v>
      </c>
      <c r="U23" s="68">
        <v>1.9390100635309093</v>
      </c>
      <c r="V23" s="68">
        <v>1.9667891813334546</v>
      </c>
      <c r="W23" s="68">
        <v>1.9146169575998184</v>
      </c>
      <c r="X23" s="68">
        <v>1.958842418778</v>
      </c>
      <c r="Y23">
        <v>1.37</v>
      </c>
      <c r="Z23">
        <v>1.37</v>
      </c>
      <c r="AA23">
        <v>1.53</v>
      </c>
      <c r="AB23" s="73">
        <v>123.582393</v>
      </c>
      <c r="AC23" s="73">
        <v>123.20593043478262</v>
      </c>
      <c r="AD23" s="73">
        <v>123.20593043478262</v>
      </c>
      <c r="AE23" s="73">
        <v>123.20593043478262</v>
      </c>
      <c r="AF23" s="73">
        <v>123.20593043478262</v>
      </c>
      <c r="AG23" s="29">
        <v>123.582393</v>
      </c>
      <c r="AH23" s="29">
        <v>123.20593043478262</v>
      </c>
      <c r="AI23" s="29">
        <v>123.20593043478262</v>
      </c>
      <c r="AJ23" s="29">
        <v>123.20593043478262</v>
      </c>
      <c r="AK23" s="29">
        <v>123.20593043478262</v>
      </c>
    </row>
    <row r="24" spans="1:37">
      <c r="A24" t="s">
        <v>75</v>
      </c>
      <c r="B24">
        <v>7</v>
      </c>
      <c r="C24">
        <v>261</v>
      </c>
      <c r="D24" s="47">
        <v>24</v>
      </c>
      <c r="E24">
        <v>22</v>
      </c>
      <c r="F24">
        <v>6</v>
      </c>
      <c r="G24" s="3">
        <v>0.11483253588516747</v>
      </c>
      <c r="H24" s="3">
        <v>0.10526315789473684</v>
      </c>
      <c r="I24" s="3">
        <v>2.87E-2</v>
      </c>
      <c r="J24">
        <v>4.4000000000000004E-2</v>
      </c>
      <c r="K24" s="3">
        <v>0.08</v>
      </c>
      <c r="L24" s="3">
        <v>0.18</v>
      </c>
      <c r="M24" s="3">
        <v>2.0999999999999991E-2</v>
      </c>
      <c r="N24" s="3"/>
      <c r="O24" s="70">
        <v>1.8083423827931961</v>
      </c>
      <c r="P24" s="70">
        <v>1.794448914250909</v>
      </c>
      <c r="Q24" s="70">
        <v>1.8206386891396367</v>
      </c>
      <c r="R24" s="70">
        <v>1.7726882924683636</v>
      </c>
      <c r="S24" s="70">
        <v>1.8130641954218183</v>
      </c>
      <c r="T24" s="68">
        <v>2.0085124184944094</v>
      </c>
      <c r="U24" s="68">
        <v>1.9922096917813565</v>
      </c>
      <c r="V24" s="68">
        <v>2.0205735955618351</v>
      </c>
      <c r="W24" s="68">
        <v>1.9668523618016087</v>
      </c>
      <c r="X24" s="68">
        <v>2.0123622454173864</v>
      </c>
      <c r="Y24">
        <v>1.37</v>
      </c>
      <c r="Z24">
        <v>1.37</v>
      </c>
      <c r="AA24">
        <v>1.53</v>
      </c>
      <c r="AB24" s="73">
        <v>124.11770198253276</v>
      </c>
      <c r="AC24" s="73">
        <v>123.73960873362446</v>
      </c>
      <c r="AD24" s="73">
        <v>123.73960873362446</v>
      </c>
      <c r="AE24" s="73">
        <v>123.73960873362446</v>
      </c>
      <c r="AF24" s="73">
        <v>123.73960873362446</v>
      </c>
      <c r="AG24" s="29">
        <v>124.11770198253276</v>
      </c>
      <c r="AH24" s="29">
        <v>123.73960873362446</v>
      </c>
      <c r="AI24" s="29">
        <v>123.73960873362446</v>
      </c>
      <c r="AJ24" s="29">
        <v>123.73960873362446</v>
      </c>
      <c r="AK24" s="29">
        <v>123.73960873362446</v>
      </c>
    </row>
    <row r="25" spans="1:37">
      <c r="A25" t="s">
        <v>81</v>
      </c>
      <c r="B25">
        <v>7</v>
      </c>
      <c r="C25">
        <v>261</v>
      </c>
      <c r="D25" s="47">
        <v>25</v>
      </c>
      <c r="E25">
        <v>12</v>
      </c>
      <c r="F25">
        <v>6</v>
      </c>
      <c r="G25" s="3">
        <v>0.11467889908256881</v>
      </c>
      <c r="H25" s="3">
        <v>5.5045871559633031E-2</v>
      </c>
      <c r="I25" s="3">
        <v>2.75E-2</v>
      </c>
      <c r="J25">
        <v>4.4000000000000004E-2</v>
      </c>
      <c r="K25" s="3">
        <v>0.08</v>
      </c>
      <c r="L25" s="3">
        <v>0.16900000000000001</v>
      </c>
      <c r="M25" s="3">
        <v>1.0000000000000009E-2</v>
      </c>
      <c r="N25" s="3"/>
      <c r="O25" s="70">
        <v>1.8083423827931961</v>
      </c>
      <c r="P25" s="70">
        <v>1.8025113866760001</v>
      </c>
      <c r="Q25" s="70">
        <v>1.8288785954439002</v>
      </c>
      <c r="R25" s="70">
        <v>1.7806569031251001</v>
      </c>
      <c r="S25" s="70">
        <v>1.8212714300781001</v>
      </c>
      <c r="T25" s="68">
        <v>1.9124858987557269</v>
      </c>
      <c r="U25" s="68">
        <v>1.9063880114808303</v>
      </c>
      <c r="V25" s="68">
        <v>1.9338581672263897</v>
      </c>
      <c r="W25" s="68">
        <v>1.8827256000960415</v>
      </c>
      <c r="X25" s="68">
        <v>1.9259027013297796</v>
      </c>
      <c r="Y25">
        <v>1.37</v>
      </c>
      <c r="Z25">
        <v>1.37</v>
      </c>
      <c r="AA25">
        <v>1.53</v>
      </c>
      <c r="AB25" s="73">
        <v>127.43916910762333</v>
      </c>
      <c r="AC25" s="73">
        <v>127.43916910762333</v>
      </c>
      <c r="AD25" s="73">
        <v>127.43916910762333</v>
      </c>
      <c r="AE25" s="73">
        <v>127.43916910762333</v>
      </c>
      <c r="AF25" s="73">
        <v>127.43916910762333</v>
      </c>
      <c r="AG25" s="29">
        <v>127.43916910762333</v>
      </c>
      <c r="AH25" s="29">
        <v>127.43916910762333</v>
      </c>
      <c r="AI25" s="29">
        <v>127.43916910762333</v>
      </c>
      <c r="AJ25" s="29">
        <v>127.43916910762333</v>
      </c>
      <c r="AK25" s="29">
        <v>127.43916910762333</v>
      </c>
    </row>
    <row r="26" spans="1:37">
      <c r="A26" t="s">
        <v>83</v>
      </c>
      <c r="B26">
        <v>9</v>
      </c>
      <c r="C26">
        <v>261</v>
      </c>
      <c r="D26" s="47">
        <v>20</v>
      </c>
      <c r="E26">
        <v>10</v>
      </c>
      <c r="F26">
        <v>6</v>
      </c>
      <c r="G26" s="3">
        <v>8.8888888888888892E-2</v>
      </c>
      <c r="H26" s="3">
        <v>4.4444444444444446E-2</v>
      </c>
      <c r="I26" s="3">
        <v>2.6700000000000002E-2</v>
      </c>
      <c r="J26">
        <v>4.4000000000000004E-2</v>
      </c>
      <c r="K26" s="3">
        <v>0.08</v>
      </c>
      <c r="L26" s="3" t="s">
        <v>231</v>
      </c>
      <c r="M26" s="3" t="e">
        <v>#VALUE!</v>
      </c>
      <c r="N26" s="3"/>
      <c r="O26" s="70">
        <v>1.8083423827931961</v>
      </c>
      <c r="P26" s="70">
        <v>1.7623350740633936</v>
      </c>
      <c r="Q26" s="70">
        <v>1.7882062968198829</v>
      </c>
      <c r="R26" s="70">
        <v>1.7411963920550426</v>
      </c>
      <c r="S26" s="70">
        <v>1.7806973321661703</v>
      </c>
      <c r="T26" s="68">
        <v>1.8943601409644262</v>
      </c>
      <c r="U26" s="68">
        <v>1.8444571856965803</v>
      </c>
      <c r="V26" s="68">
        <v>1.8713154617703001</v>
      </c>
      <c r="W26" s="68">
        <v>1.8218951794953</v>
      </c>
      <c r="X26" s="68">
        <v>1.8635795402515201</v>
      </c>
      <c r="Y26">
        <v>1.37</v>
      </c>
      <c r="Z26">
        <v>1.37</v>
      </c>
      <c r="AA26">
        <v>1.53</v>
      </c>
      <c r="AB26" s="73">
        <v>124.1212972139738</v>
      </c>
      <c r="AC26" s="73">
        <v>123.74319301310044</v>
      </c>
      <c r="AD26" s="73">
        <v>123.74319301310044</v>
      </c>
      <c r="AE26" s="73">
        <v>123.74319301310044</v>
      </c>
      <c r="AF26" s="73">
        <v>123.74319301310044</v>
      </c>
      <c r="AG26" s="29">
        <v>124.1212972139738</v>
      </c>
      <c r="AH26" s="29">
        <v>123.74319301310044</v>
      </c>
      <c r="AI26" s="29">
        <v>123.74319301310044</v>
      </c>
      <c r="AJ26" s="29">
        <v>123.74319301310044</v>
      </c>
      <c r="AK26" s="29">
        <v>123.74319301310044</v>
      </c>
    </row>
    <row r="27" spans="1:37">
      <c r="A27" t="s">
        <v>85</v>
      </c>
      <c r="B27">
        <v>7</v>
      </c>
      <c r="C27">
        <v>261</v>
      </c>
      <c r="D27" s="47">
        <v>25</v>
      </c>
      <c r="E27">
        <v>20</v>
      </c>
      <c r="F27">
        <v>6</v>
      </c>
      <c r="G27" s="3">
        <v>0.11904761904761904</v>
      </c>
      <c r="H27" s="3">
        <v>9.5238095238095233E-2</v>
      </c>
      <c r="I27" s="3">
        <v>2.86E-2</v>
      </c>
      <c r="J27">
        <v>4.4000000000000004E-2</v>
      </c>
      <c r="K27" s="3">
        <v>0.08</v>
      </c>
      <c r="L27" s="3">
        <v>0.13636899999999999</v>
      </c>
      <c r="M27" s="3">
        <v>0</v>
      </c>
      <c r="N27" s="3"/>
      <c r="O27" s="70">
        <v>1.8083423827931961</v>
      </c>
      <c r="P27" s="70">
        <v>1.8025113866760001</v>
      </c>
      <c r="Q27" s="70">
        <v>1.8288785954439002</v>
      </c>
      <c r="R27" s="70">
        <v>1.7806569031251001</v>
      </c>
      <c r="S27" s="70">
        <v>1.8212714300781001</v>
      </c>
      <c r="T27" s="68">
        <v>1.9887436097981206</v>
      </c>
      <c r="U27" s="68">
        <v>1.9822619497122</v>
      </c>
      <c r="V27" s="68">
        <v>2.0106334135133999</v>
      </c>
      <c r="W27" s="68">
        <v>1.9572075475991997</v>
      </c>
      <c r="X27" s="68">
        <v>1.9980003487860001</v>
      </c>
      <c r="Y27">
        <v>1.37</v>
      </c>
      <c r="Z27">
        <v>1.37</v>
      </c>
      <c r="AA27">
        <v>1.53</v>
      </c>
      <c r="AB27" s="73">
        <v>123.84405966666667</v>
      </c>
      <c r="AC27" s="73">
        <v>123.84405966666667</v>
      </c>
      <c r="AD27" s="73">
        <v>123.84405966666667</v>
      </c>
      <c r="AE27" s="73">
        <v>123.84405966666667</v>
      </c>
      <c r="AF27" s="73">
        <v>123.84405966666667</v>
      </c>
      <c r="AG27" s="29">
        <v>123.84405966666667</v>
      </c>
      <c r="AH27" s="29">
        <v>123.84405966666667</v>
      </c>
      <c r="AI27" s="29">
        <v>123.84405966666667</v>
      </c>
      <c r="AJ27" s="29">
        <v>123.84405966666667</v>
      </c>
      <c r="AK27" s="29">
        <v>123.84405966666667</v>
      </c>
    </row>
    <row r="28" spans="1:37">
      <c r="A28" s="41" t="s">
        <v>58</v>
      </c>
      <c r="B28" s="41">
        <v>7</v>
      </c>
      <c r="C28" s="41">
        <v>261</v>
      </c>
      <c r="D28" s="74">
        <v>25</v>
      </c>
      <c r="E28" s="41">
        <v>15</v>
      </c>
      <c r="F28" s="41">
        <v>6</v>
      </c>
      <c r="G28" s="48">
        <v>0.11627906976744186</v>
      </c>
      <c r="H28" s="48">
        <v>6.9767441860465115E-2</v>
      </c>
      <c r="I28" s="48">
        <v>2.7900000000000001E-2</v>
      </c>
      <c r="J28" s="41">
        <v>4.4000000000000004E-2</v>
      </c>
      <c r="K28" s="48">
        <v>0.08</v>
      </c>
      <c r="L28" s="48">
        <v>0.150698</v>
      </c>
      <c r="M28" s="48">
        <v>0</v>
      </c>
      <c r="N28" s="48"/>
      <c r="O28" s="70">
        <v>1.7881917483893761</v>
      </c>
      <c r="P28" s="70">
        <v>1.7825552292997568</v>
      </c>
      <c r="Q28" s="70">
        <v>1.8027539052294677</v>
      </c>
      <c r="R28" s="70">
        <v>1.7480496835984698</v>
      </c>
      <c r="S28" s="70">
        <v>1.7970639596677567</v>
      </c>
      <c r="T28" s="68">
        <v>1.9168615147387711</v>
      </c>
      <c r="U28" s="68">
        <v>1.9107524473451161</v>
      </c>
      <c r="V28" s="68">
        <v>1.9324065174456557</v>
      </c>
      <c r="W28" s="68">
        <v>1.8738528325631998</v>
      </c>
      <c r="X28" s="68">
        <v>1.926335282838028</v>
      </c>
      <c r="Y28">
        <v>1.37</v>
      </c>
      <c r="Z28">
        <v>1.37</v>
      </c>
      <c r="AA28">
        <v>1.53</v>
      </c>
      <c r="AB28" s="73">
        <v>123.582393</v>
      </c>
      <c r="AC28" s="73">
        <v>122.67677922077922</v>
      </c>
      <c r="AD28" s="73">
        <v>122.67677922077922</v>
      </c>
      <c r="AE28" s="73">
        <v>122.67677922077922</v>
      </c>
      <c r="AF28" s="73">
        <v>122.67677922077922</v>
      </c>
      <c r="AG28" s="29">
        <v>123.582393</v>
      </c>
      <c r="AH28" s="29">
        <v>122.67677922077922</v>
      </c>
      <c r="AI28" s="29">
        <v>122.67677922077922</v>
      </c>
      <c r="AJ28" s="29">
        <v>122.67677922077922</v>
      </c>
      <c r="AK28" s="29">
        <v>122.67677922077922</v>
      </c>
    </row>
    <row r="29" spans="1:37">
      <c r="A29" t="s">
        <v>54</v>
      </c>
      <c r="B29">
        <v>7</v>
      </c>
      <c r="C29">
        <v>261</v>
      </c>
      <c r="D29" s="47">
        <v>25</v>
      </c>
      <c r="E29">
        <v>0</v>
      </c>
      <c r="F29">
        <v>6</v>
      </c>
      <c r="G29" s="3">
        <v>0.10869565217391304</v>
      </c>
      <c r="H29" s="3">
        <v>0</v>
      </c>
      <c r="I29" s="3">
        <v>2.6100000000000002E-2</v>
      </c>
      <c r="J29">
        <v>0.04</v>
      </c>
      <c r="K29" s="3">
        <v>0.08</v>
      </c>
      <c r="L29" s="3">
        <v>0.159</v>
      </c>
      <c r="M29" s="3">
        <v>0</v>
      </c>
      <c r="N29" s="3"/>
      <c r="O29" s="70">
        <v>1.8034278817707652</v>
      </c>
      <c r="P29" s="70">
        <v>1.7976118564404004</v>
      </c>
      <c r="Q29" s="70">
        <v>1.8291364654563003</v>
      </c>
      <c r="R29" s="70">
        <v>1.7810437081437001</v>
      </c>
      <c r="S29" s="70">
        <v>1.8122459796441002</v>
      </c>
      <c r="T29" s="68">
        <v>1.8034278817707652</v>
      </c>
      <c r="U29" s="68">
        <v>1.7976118564404004</v>
      </c>
      <c r="V29" s="68">
        <v>1.8291364654563003</v>
      </c>
      <c r="W29" s="68">
        <v>1.7810437081437001</v>
      </c>
      <c r="X29" s="68">
        <v>1.8122459796441002</v>
      </c>
      <c r="Y29">
        <v>1.37</v>
      </c>
      <c r="Z29">
        <v>1.37</v>
      </c>
      <c r="AA29">
        <v>1.53</v>
      </c>
      <c r="AB29" s="73">
        <v>123.582393</v>
      </c>
      <c r="AC29" s="73">
        <v>123.49112934782609</v>
      </c>
      <c r="AD29" s="73">
        <v>123.49112934782609</v>
      </c>
      <c r="AE29" s="73">
        <v>123.49112934782609</v>
      </c>
      <c r="AF29" s="73">
        <v>123.49112934782609</v>
      </c>
      <c r="AG29" s="29">
        <v>123.582393</v>
      </c>
      <c r="AH29" s="29">
        <v>123.49112934782609</v>
      </c>
      <c r="AI29" s="29">
        <v>123.49112934782609</v>
      </c>
      <c r="AJ29" s="29">
        <v>123.49112934782609</v>
      </c>
      <c r="AK29" s="29">
        <v>123.49112934782609</v>
      </c>
    </row>
    <row r="30" spans="1:37">
      <c r="A30" t="s">
        <v>62</v>
      </c>
      <c r="B30">
        <v>9</v>
      </c>
      <c r="C30">
        <v>261</v>
      </c>
      <c r="D30" s="47">
        <v>25</v>
      </c>
      <c r="E30">
        <v>0</v>
      </c>
      <c r="F30">
        <v>6</v>
      </c>
      <c r="G30" s="3">
        <v>0.10869565217391304</v>
      </c>
      <c r="H30" s="3">
        <v>0</v>
      </c>
      <c r="I30" s="3">
        <v>2.6100000000000002E-2</v>
      </c>
      <c r="J30">
        <v>4.4000000000000004E-2</v>
      </c>
      <c r="K30" s="3">
        <v>0.08</v>
      </c>
      <c r="L30" s="3" t="s">
        <v>231</v>
      </c>
      <c r="M30" s="3" t="e">
        <v>#VALUE!</v>
      </c>
      <c r="N30" s="3"/>
      <c r="O30" s="70">
        <v>1.8083423827931961</v>
      </c>
      <c r="P30" s="70">
        <v>1.8025113866760001</v>
      </c>
      <c r="Q30" s="70">
        <v>1.8288785954439002</v>
      </c>
      <c r="R30" s="70">
        <v>1.7806569031251001</v>
      </c>
      <c r="S30" s="70">
        <v>1.8212714300781001</v>
      </c>
      <c r="T30" s="68">
        <v>1.8083423827931961</v>
      </c>
      <c r="U30" s="68">
        <v>1.8025113866760001</v>
      </c>
      <c r="V30" s="68">
        <v>1.8288785954439002</v>
      </c>
      <c r="W30" s="68">
        <v>1.7806569031251001</v>
      </c>
      <c r="X30" s="68">
        <v>1.8212714300781001</v>
      </c>
      <c r="Y30">
        <v>1.37</v>
      </c>
      <c r="Z30">
        <v>1.37</v>
      </c>
      <c r="AA30">
        <v>1.53</v>
      </c>
      <c r="AB30" s="73">
        <v>123.582393</v>
      </c>
      <c r="AC30" s="73">
        <v>123.20593043478262</v>
      </c>
      <c r="AD30" s="73">
        <v>123.20593043478262</v>
      </c>
      <c r="AE30" s="73">
        <v>123.20593043478262</v>
      </c>
      <c r="AF30" s="73">
        <v>123.20593043478262</v>
      </c>
      <c r="AG30" s="29">
        <v>123.582393</v>
      </c>
      <c r="AH30" s="29">
        <v>123.20593043478262</v>
      </c>
      <c r="AI30" s="29">
        <v>123.20593043478262</v>
      </c>
      <c r="AJ30" s="29">
        <v>123.20593043478262</v>
      </c>
      <c r="AK30" s="29">
        <v>123.20593043478262</v>
      </c>
    </row>
    <row r="31" spans="1:37">
      <c r="A31" t="s">
        <v>65</v>
      </c>
      <c r="B31">
        <v>7</v>
      </c>
      <c r="C31">
        <v>261</v>
      </c>
      <c r="D31" s="47">
        <v>32</v>
      </c>
      <c r="E31">
        <v>0</v>
      </c>
      <c r="F31">
        <v>6</v>
      </c>
      <c r="G31" s="3">
        <v>0.14349775784753363</v>
      </c>
      <c r="H31" s="3">
        <v>0</v>
      </c>
      <c r="I31" s="3">
        <v>2.69E-2</v>
      </c>
      <c r="J31">
        <v>4.4000000000000004E-2</v>
      </c>
      <c r="K31" s="3">
        <v>8.3299999999999999E-2</v>
      </c>
      <c r="L31" s="3">
        <v>0.17813599999999999</v>
      </c>
      <c r="M31" s="3">
        <v>1.9135999999999986E-2</v>
      </c>
      <c r="N31" s="3"/>
      <c r="O31" s="70">
        <v>1.8677114095029097</v>
      </c>
      <c r="P31" s="70">
        <v>1.8677114095029097</v>
      </c>
      <c r="Q31" s="70">
        <v>1.8947845228685487</v>
      </c>
      <c r="R31" s="70">
        <v>1.8446525853604512</v>
      </c>
      <c r="S31" s="70">
        <v>1.8870493476212231</v>
      </c>
      <c r="T31" s="68">
        <v>1.8677114095029097</v>
      </c>
      <c r="U31" s="68">
        <v>1.8677114095029097</v>
      </c>
      <c r="V31" s="68">
        <v>1.8947845228685487</v>
      </c>
      <c r="W31" s="68">
        <v>1.8446525853604512</v>
      </c>
      <c r="X31" s="68">
        <v>1.8870493476212231</v>
      </c>
      <c r="Y31">
        <v>1.37</v>
      </c>
      <c r="Z31">
        <v>1.37</v>
      </c>
      <c r="AA31">
        <v>1.53</v>
      </c>
      <c r="AB31" s="73">
        <v>123.88636930543933</v>
      </c>
      <c r="AC31" s="73">
        <v>123.88636930543933</v>
      </c>
      <c r="AD31" s="73">
        <v>123.88636930543933</v>
      </c>
      <c r="AE31" s="73">
        <v>123.88636930543933</v>
      </c>
      <c r="AF31" s="73">
        <v>123.88636930543933</v>
      </c>
      <c r="AG31" s="29">
        <v>123.88636930543933</v>
      </c>
      <c r="AH31" s="29">
        <v>123.88636930543933</v>
      </c>
      <c r="AI31" s="29">
        <v>123.88636930543933</v>
      </c>
      <c r="AJ31" s="29">
        <v>123.88636930543933</v>
      </c>
      <c r="AK31" s="29">
        <v>123.88636930543933</v>
      </c>
    </row>
    <row r="32" spans="1:37">
      <c r="A32" t="s">
        <v>66</v>
      </c>
      <c r="B32">
        <v>8</v>
      </c>
      <c r="C32">
        <v>261</v>
      </c>
      <c r="D32" s="47">
        <v>25</v>
      </c>
      <c r="E32">
        <v>0</v>
      </c>
      <c r="F32">
        <v>7</v>
      </c>
      <c r="G32" s="3">
        <v>0.1091703056768559</v>
      </c>
      <c r="H32" s="3">
        <v>0</v>
      </c>
      <c r="I32" s="3">
        <v>3.0599999999999999E-2</v>
      </c>
      <c r="J32">
        <v>4.4000000000000004E-2</v>
      </c>
      <c r="K32" s="3">
        <v>0.08</v>
      </c>
      <c r="L32" s="3">
        <v>0.19089999999999999</v>
      </c>
      <c r="M32" s="3">
        <v>3.1899999999999984E-2</v>
      </c>
      <c r="N32" s="3"/>
      <c r="O32" s="70">
        <v>1.8166176778876808</v>
      </c>
      <c r="P32" s="70">
        <v>1.810824816185379</v>
      </c>
      <c r="Q32" s="70">
        <v>1.8372422554889738</v>
      </c>
      <c r="R32" s="70">
        <v>1.7889397806838716</v>
      </c>
      <c r="S32" s="70">
        <v>1.8296019176511695</v>
      </c>
      <c r="T32" s="68">
        <v>1.8166176778876808</v>
      </c>
      <c r="U32" s="68">
        <v>1.810824816185379</v>
      </c>
      <c r="V32" s="68">
        <v>1.8372422554889738</v>
      </c>
      <c r="W32" s="68">
        <v>1.7889397806838716</v>
      </c>
      <c r="X32" s="68">
        <v>1.8296019176511695</v>
      </c>
      <c r="Y32">
        <v>1.37</v>
      </c>
      <c r="Z32">
        <v>1.37</v>
      </c>
      <c r="AA32">
        <v>1.53</v>
      </c>
      <c r="AB32" s="73">
        <v>128.57436649956014</v>
      </c>
      <c r="AC32" s="73">
        <v>128.18269714716601</v>
      </c>
      <c r="AD32" s="73">
        <v>128.18269714716601</v>
      </c>
      <c r="AE32" s="73">
        <v>128.18269714716601</v>
      </c>
      <c r="AF32" s="73">
        <v>128.18269714716601</v>
      </c>
      <c r="AG32" s="29">
        <v>128.57436649956014</v>
      </c>
      <c r="AH32" s="29">
        <v>128.18269714716601</v>
      </c>
      <c r="AI32" s="29">
        <v>128.18269714716601</v>
      </c>
      <c r="AJ32" s="29">
        <v>128.18269714716601</v>
      </c>
      <c r="AK32" s="29">
        <v>128.18269714716601</v>
      </c>
    </row>
    <row r="33" spans="1:37">
      <c r="A33" t="s">
        <v>69</v>
      </c>
      <c r="B33">
        <v>9</v>
      </c>
      <c r="C33">
        <v>261</v>
      </c>
      <c r="D33" s="47">
        <v>24</v>
      </c>
      <c r="E33">
        <v>0</v>
      </c>
      <c r="F33">
        <v>6</v>
      </c>
      <c r="G33" s="3">
        <v>0.1038961038961039</v>
      </c>
      <c r="H33" s="3">
        <v>0</v>
      </c>
      <c r="I33" s="3">
        <v>2.5999999999999999E-2</v>
      </c>
      <c r="J33">
        <v>4.4000000000000004E-2</v>
      </c>
      <c r="K33" s="3">
        <v>0.08</v>
      </c>
      <c r="L33" s="3">
        <v>0.18675</v>
      </c>
      <c r="M33" s="3">
        <v>2.7749999999999997E-2</v>
      </c>
      <c r="N33" s="3"/>
      <c r="O33" s="70">
        <v>1.8083423827931961</v>
      </c>
      <c r="P33" s="70">
        <v>1.794448914250909</v>
      </c>
      <c r="Q33" s="70">
        <v>1.8206386891396367</v>
      </c>
      <c r="R33" s="70">
        <v>1.7726882924683636</v>
      </c>
      <c r="S33" s="70">
        <v>1.8130641954218183</v>
      </c>
      <c r="T33" s="68">
        <v>1.8083423827931961</v>
      </c>
      <c r="U33" s="68">
        <v>1.794448914250909</v>
      </c>
      <c r="V33" s="68">
        <v>1.8206386891396367</v>
      </c>
      <c r="W33" s="68">
        <v>1.7726882924683636</v>
      </c>
      <c r="X33" s="68">
        <v>1.8130641954218183</v>
      </c>
      <c r="Y33">
        <v>1.37</v>
      </c>
      <c r="Z33">
        <v>1.37</v>
      </c>
      <c r="AA33">
        <v>1.53</v>
      </c>
      <c r="AB33" s="73">
        <v>123.582393</v>
      </c>
      <c r="AC33" s="73">
        <v>123.20593043478262</v>
      </c>
      <c r="AD33" s="73">
        <v>123.20593043478262</v>
      </c>
      <c r="AE33" s="73">
        <v>123.20593043478262</v>
      </c>
      <c r="AF33" s="73">
        <v>123.20593043478262</v>
      </c>
      <c r="AG33" s="29">
        <v>123.582393</v>
      </c>
      <c r="AH33" s="29">
        <v>123.20593043478262</v>
      </c>
      <c r="AI33" s="29">
        <v>123.20593043478262</v>
      </c>
      <c r="AJ33" s="29">
        <v>123.20593043478262</v>
      </c>
      <c r="AK33" s="29">
        <v>123.20593043478262</v>
      </c>
    </row>
    <row r="34" spans="1:37">
      <c r="A34" t="s">
        <v>70</v>
      </c>
      <c r="B34">
        <v>7</v>
      </c>
      <c r="C34">
        <v>261</v>
      </c>
      <c r="D34" s="47">
        <v>25</v>
      </c>
      <c r="E34">
        <v>0</v>
      </c>
      <c r="F34">
        <v>6</v>
      </c>
      <c r="G34" s="3">
        <v>0.10869565217391304</v>
      </c>
      <c r="H34" s="3">
        <v>0</v>
      </c>
      <c r="I34" s="3">
        <v>2.6100000000000002E-2</v>
      </c>
      <c r="J34">
        <v>4.4000000000000004E-2</v>
      </c>
      <c r="K34" s="3">
        <v>8.2500000000000004E-2</v>
      </c>
      <c r="L34" s="3">
        <v>0.19089999999999999</v>
      </c>
      <c r="M34" s="3">
        <v>3.1899999999999984E-2</v>
      </c>
      <c r="N34" s="3"/>
      <c r="O34" s="70">
        <v>1.7521877421632084</v>
      </c>
      <c r="P34" s="70">
        <v>1.7508679323998362</v>
      </c>
      <c r="Q34" s="70">
        <v>1.8335644278451502</v>
      </c>
      <c r="R34" s="70">
        <v>1.7852957279720061</v>
      </c>
      <c r="S34" s="70">
        <v>1.8260042700336938</v>
      </c>
      <c r="T34" s="68">
        <v>1.7521877421632084</v>
      </c>
      <c r="U34" s="68">
        <v>1.7508679323998362</v>
      </c>
      <c r="V34" s="68">
        <v>1.8335644278451502</v>
      </c>
      <c r="W34" s="68">
        <v>1.7852957279720061</v>
      </c>
      <c r="X34" s="68">
        <v>1.8260042700336938</v>
      </c>
      <c r="Y34">
        <v>1.37</v>
      </c>
      <c r="Z34">
        <v>1.37</v>
      </c>
      <c r="AA34">
        <v>1.53</v>
      </c>
      <c r="AB34" s="73">
        <v>123.582393</v>
      </c>
      <c r="AC34" s="73">
        <v>123.20593043478262</v>
      </c>
      <c r="AD34" s="73">
        <v>123.20593043478262</v>
      </c>
      <c r="AE34" s="73">
        <v>123.20593043478262</v>
      </c>
      <c r="AF34" s="73">
        <v>123.20593043478262</v>
      </c>
      <c r="AG34" s="29">
        <v>123.582393</v>
      </c>
      <c r="AH34" s="29">
        <v>123.20593043478262</v>
      </c>
      <c r="AI34" s="29">
        <v>123.20593043478262</v>
      </c>
      <c r="AJ34" s="29">
        <v>123.20593043478262</v>
      </c>
      <c r="AK34" s="29">
        <v>123.20593043478262</v>
      </c>
    </row>
    <row r="35" spans="1:37">
      <c r="A35" t="s">
        <v>76</v>
      </c>
      <c r="B35">
        <v>7</v>
      </c>
      <c r="C35">
        <v>261</v>
      </c>
      <c r="D35" s="47">
        <v>25.56</v>
      </c>
      <c r="E35">
        <v>0</v>
      </c>
      <c r="F35">
        <v>6</v>
      </c>
      <c r="G35" s="3">
        <v>0.11140167364016736</v>
      </c>
      <c r="H35" s="3">
        <v>0</v>
      </c>
      <c r="I35" s="3">
        <v>2.6200000000000001E-2</v>
      </c>
      <c r="J35">
        <v>4.4000000000000004E-2</v>
      </c>
      <c r="K35" s="3">
        <v>8.3299999999999999E-2</v>
      </c>
      <c r="L35" s="3">
        <v>0.17599999999999999</v>
      </c>
      <c r="M35" s="3">
        <v>1.6999999999999987E-2</v>
      </c>
      <c r="N35" s="3"/>
      <c r="O35" s="70">
        <v>1.8130496668690805</v>
      </c>
      <c r="P35" s="70">
        <v>1.8130496668690805</v>
      </c>
      <c r="Q35" s="70">
        <v>1.8394976723066214</v>
      </c>
      <c r="R35" s="70">
        <v>1.7910096623377962</v>
      </c>
      <c r="S35" s="70">
        <v>1.8317836707206721</v>
      </c>
      <c r="T35" s="68">
        <v>1.8130496668690805</v>
      </c>
      <c r="U35" s="68">
        <v>1.8130496668690805</v>
      </c>
      <c r="V35" s="68">
        <v>1.8394976723066214</v>
      </c>
      <c r="W35" s="68">
        <v>1.7910096623377962</v>
      </c>
      <c r="X35" s="68">
        <v>1.8317836707206721</v>
      </c>
      <c r="Y35">
        <v>1.37</v>
      </c>
      <c r="Z35">
        <v>1.37</v>
      </c>
      <c r="AA35">
        <v>1.53</v>
      </c>
      <c r="AB35" s="73">
        <v>125.75962592920354</v>
      </c>
      <c r="AC35" s="73">
        <v>125.37653097345132</v>
      </c>
      <c r="AD35" s="73">
        <v>125.37653097345132</v>
      </c>
      <c r="AE35" s="73">
        <v>125.37653097345132</v>
      </c>
      <c r="AF35" s="73">
        <v>125.37653097345132</v>
      </c>
      <c r="AG35" s="29">
        <v>125.75962592920354</v>
      </c>
      <c r="AH35" s="29">
        <v>125.37653097345132</v>
      </c>
      <c r="AI35" s="29">
        <v>125.37653097345132</v>
      </c>
      <c r="AJ35" s="29">
        <v>125.37653097345132</v>
      </c>
      <c r="AK35" s="29">
        <v>125.37653097345132</v>
      </c>
    </row>
    <row r="36" spans="1:37">
      <c r="A36" t="s">
        <v>79</v>
      </c>
      <c r="B36">
        <v>9</v>
      </c>
      <c r="C36">
        <v>261</v>
      </c>
      <c r="D36" s="47">
        <v>25</v>
      </c>
      <c r="E36">
        <v>0</v>
      </c>
      <c r="F36">
        <v>6</v>
      </c>
      <c r="G36" s="3">
        <v>0.10869565217391304</v>
      </c>
      <c r="H36" s="3">
        <v>0</v>
      </c>
      <c r="I36" s="3">
        <v>2.6100000000000002E-2</v>
      </c>
      <c r="J36">
        <v>4.4000000000000004E-2</v>
      </c>
      <c r="K36" s="3">
        <v>0.08</v>
      </c>
      <c r="L36" s="3">
        <v>0.12330000000000001</v>
      </c>
      <c r="M36" s="3">
        <v>0</v>
      </c>
      <c r="N36" s="3"/>
      <c r="O36" s="70">
        <v>1.8083423827931961</v>
      </c>
      <c r="P36" s="70">
        <v>1.8025113866760001</v>
      </c>
      <c r="Q36" s="70">
        <v>1.8288785954439002</v>
      </c>
      <c r="R36" s="70">
        <v>1.7806569031251001</v>
      </c>
      <c r="S36" s="70">
        <v>1.8212714300781001</v>
      </c>
      <c r="T36" s="68">
        <v>1.8083423827931961</v>
      </c>
      <c r="U36" s="68">
        <v>1.8025113866760001</v>
      </c>
      <c r="V36" s="68">
        <v>1.8288785954439002</v>
      </c>
      <c r="W36" s="68">
        <v>1.7806569031251001</v>
      </c>
      <c r="X36" s="68">
        <v>1.8212714300781001</v>
      </c>
      <c r="Y36">
        <v>1.37</v>
      </c>
      <c r="Z36">
        <v>1.37</v>
      </c>
      <c r="AA36">
        <v>1.53</v>
      </c>
      <c r="AB36" s="73">
        <v>123.582393</v>
      </c>
      <c r="AC36" s="73">
        <v>123.20593043478262</v>
      </c>
      <c r="AD36" s="73">
        <v>123.20593043478262</v>
      </c>
      <c r="AE36" s="73">
        <v>123.20593043478262</v>
      </c>
      <c r="AF36" s="73">
        <v>123.20593043478262</v>
      </c>
      <c r="AG36" s="29">
        <v>123.582393</v>
      </c>
      <c r="AH36" s="29">
        <v>123.20593043478262</v>
      </c>
      <c r="AI36" s="29">
        <v>123.20593043478262</v>
      </c>
      <c r="AJ36" s="29">
        <v>123.20593043478262</v>
      </c>
      <c r="AK36" s="29">
        <v>123.20593043478262</v>
      </c>
    </row>
    <row r="37" spans="1:37">
      <c r="A37" t="s">
        <v>82</v>
      </c>
      <c r="B37">
        <v>8</v>
      </c>
      <c r="C37">
        <v>261</v>
      </c>
      <c r="D37" s="47">
        <v>28</v>
      </c>
      <c r="E37">
        <v>0</v>
      </c>
      <c r="F37">
        <v>7</v>
      </c>
      <c r="G37" s="3">
        <v>0.12389380530973451</v>
      </c>
      <c r="H37" s="3">
        <v>0</v>
      </c>
      <c r="I37" s="3">
        <v>3.1E-2</v>
      </c>
      <c r="J37">
        <v>4.4000000000000004E-2</v>
      </c>
      <c r="K37" s="3">
        <v>0.08</v>
      </c>
      <c r="L37" s="3">
        <v>0.189</v>
      </c>
      <c r="M37" s="3">
        <v>0.03</v>
      </c>
      <c r="N37" s="3"/>
      <c r="O37" s="70">
        <v>1.8419120459703542</v>
      </c>
      <c r="P37" s="70">
        <v>1.8360387127842213</v>
      </c>
      <c r="Q37" s="70">
        <v>1.8626736403359558</v>
      </c>
      <c r="R37" s="70">
        <v>1.813471187962062</v>
      </c>
      <c r="S37" s="70">
        <v>1.8549586958037292</v>
      </c>
      <c r="T37" s="68">
        <v>1.8419120459703542</v>
      </c>
      <c r="U37" s="68">
        <v>1.8360387127842213</v>
      </c>
      <c r="V37" s="68">
        <v>1.8626736403359558</v>
      </c>
      <c r="W37" s="68">
        <v>1.813471187962062</v>
      </c>
      <c r="X37" s="68">
        <v>1.8549586958037292</v>
      </c>
      <c r="Y37">
        <v>1.37</v>
      </c>
      <c r="Z37">
        <v>1.37</v>
      </c>
      <c r="AA37">
        <v>1.53</v>
      </c>
      <c r="AB37" s="73">
        <v>124.1212972139738</v>
      </c>
      <c r="AC37" s="73">
        <v>123.74319301310044</v>
      </c>
      <c r="AD37" s="73">
        <v>123.74319301310044</v>
      </c>
      <c r="AE37" s="73">
        <v>123.74319301310044</v>
      </c>
      <c r="AF37" s="73">
        <v>123.74319301310044</v>
      </c>
      <c r="AG37" s="29">
        <v>124.1212972139738</v>
      </c>
      <c r="AH37" s="29">
        <v>123.74319301310044</v>
      </c>
      <c r="AI37" s="29">
        <v>123.74319301310044</v>
      </c>
      <c r="AJ37" s="29">
        <v>123.74319301310044</v>
      </c>
      <c r="AK37" s="29">
        <v>123.74319301310044</v>
      </c>
    </row>
    <row r="38" spans="1:37">
      <c r="A38" t="s">
        <v>302</v>
      </c>
      <c r="B38">
        <v>8</v>
      </c>
      <c r="C38">
        <v>261</v>
      </c>
      <c r="D38" s="47">
        <v>25</v>
      </c>
      <c r="E38">
        <v>0</v>
      </c>
      <c r="F38">
        <v>7</v>
      </c>
      <c r="G38" s="3">
        <v>0.1091703056768559</v>
      </c>
      <c r="H38" s="3">
        <v>0</v>
      </c>
      <c r="I38" s="3">
        <v>3.0599999999999999E-2</v>
      </c>
      <c r="J38">
        <v>4.4000000000000004E-2</v>
      </c>
      <c r="K38" s="3">
        <v>0.08</v>
      </c>
      <c r="L38" s="3">
        <v>0.16980000000000001</v>
      </c>
      <c r="M38" s="3">
        <v>1.0800000000000004E-2</v>
      </c>
      <c r="N38" s="3"/>
      <c r="O38" s="70">
        <v>1.8166176778876808</v>
      </c>
      <c r="P38" s="70">
        <v>1.810824816185379</v>
      </c>
      <c r="Q38" s="70">
        <v>1.8372422554889738</v>
      </c>
      <c r="R38" s="70">
        <v>1.7889397806838716</v>
      </c>
      <c r="S38" s="70">
        <v>1.8254580056035468</v>
      </c>
      <c r="T38" s="68">
        <v>1.8166176778876808</v>
      </c>
      <c r="U38" s="68">
        <v>1.810824816185379</v>
      </c>
      <c r="V38" s="68">
        <v>1.8372422554889738</v>
      </c>
      <c r="W38" s="68">
        <v>1.7889397806838716</v>
      </c>
      <c r="X38" s="68">
        <v>1.8254580056035468</v>
      </c>
      <c r="Y38">
        <v>1.37</v>
      </c>
      <c r="Z38">
        <v>1.37</v>
      </c>
      <c r="AA38">
        <v>1.53</v>
      </c>
      <c r="AB38" s="73">
        <v>124.1212972139738</v>
      </c>
      <c r="AC38" s="73">
        <v>123.74319301310044</v>
      </c>
      <c r="AD38" s="73">
        <v>123.74319301310044</v>
      </c>
      <c r="AE38" s="73">
        <v>123.74319301310044</v>
      </c>
      <c r="AF38" s="73">
        <v>123.74319301310044</v>
      </c>
      <c r="AG38" s="29">
        <v>124.1212972139738</v>
      </c>
      <c r="AH38" s="29">
        <v>123.74319301310044</v>
      </c>
      <c r="AI38" s="29">
        <v>123.74319301310044</v>
      </c>
      <c r="AJ38" s="29">
        <v>123.74319301310044</v>
      </c>
      <c r="AK38" s="29">
        <v>123.74319301310044</v>
      </c>
    </row>
    <row r="39" spans="1:37">
      <c r="A39" t="s">
        <v>87</v>
      </c>
      <c r="B39">
        <v>10</v>
      </c>
      <c r="C39">
        <v>261</v>
      </c>
      <c r="D39" s="47">
        <v>25</v>
      </c>
      <c r="E39">
        <v>0</v>
      </c>
      <c r="F39">
        <v>7</v>
      </c>
      <c r="G39" s="3">
        <v>0.1091703056768559</v>
      </c>
      <c r="H39" s="3">
        <v>0</v>
      </c>
      <c r="I39" s="3">
        <v>3.0599999999999999E-2</v>
      </c>
      <c r="J39">
        <v>4.4000000000000004E-2</v>
      </c>
      <c r="K39" s="3">
        <v>0.08</v>
      </c>
      <c r="L39" s="3">
        <v>0.13639999999999999</v>
      </c>
      <c r="M39" s="3">
        <v>0</v>
      </c>
      <c r="N39" s="3"/>
      <c r="O39" s="70">
        <v>1.8166176778876808</v>
      </c>
      <c r="P39" s="70">
        <v>1.810824816185379</v>
      </c>
      <c r="Q39" s="70">
        <v>1.8372422554889738</v>
      </c>
      <c r="R39" s="70">
        <v>1.7889397806838716</v>
      </c>
      <c r="S39" s="70">
        <v>1.8254580056035468</v>
      </c>
      <c r="T39" s="68">
        <v>1.8166176778876808</v>
      </c>
      <c r="U39" s="68">
        <v>1.810824816185379</v>
      </c>
      <c r="V39" s="68">
        <v>1.8372422554889738</v>
      </c>
      <c r="W39" s="68">
        <v>1.7889397806838716</v>
      </c>
      <c r="X39" s="68">
        <v>1.8254580056035468</v>
      </c>
      <c r="Y39">
        <v>1.37</v>
      </c>
      <c r="Z39">
        <v>1.37</v>
      </c>
      <c r="AA39">
        <v>1.53</v>
      </c>
      <c r="AB39" s="73">
        <v>123.582393</v>
      </c>
      <c r="AC39" s="73">
        <v>123.20593043478262</v>
      </c>
      <c r="AD39" s="73">
        <v>123.20593043478262</v>
      </c>
      <c r="AE39" s="73">
        <v>123.20593043478262</v>
      </c>
      <c r="AF39" s="73">
        <v>123.20593043478262</v>
      </c>
      <c r="AG39" s="29">
        <v>123.582393</v>
      </c>
      <c r="AH39" s="29">
        <v>123.20593043478262</v>
      </c>
      <c r="AI39" s="29">
        <v>123.20593043478262</v>
      </c>
      <c r="AJ39" s="29">
        <v>123.20593043478262</v>
      </c>
      <c r="AK39" s="29">
        <v>123.20593043478262</v>
      </c>
    </row>
    <row r="40" spans="1:37">
      <c r="A40" t="s">
        <v>88</v>
      </c>
      <c r="B40">
        <v>7</v>
      </c>
      <c r="C40">
        <v>261</v>
      </c>
      <c r="D40" s="47">
        <v>25</v>
      </c>
      <c r="E40">
        <v>0</v>
      </c>
      <c r="F40">
        <v>6</v>
      </c>
      <c r="G40" s="3">
        <v>0.10869565217391304</v>
      </c>
      <c r="H40" s="3">
        <v>0</v>
      </c>
      <c r="I40" s="3">
        <v>2.6100000000000002E-2</v>
      </c>
      <c r="J40">
        <v>4.4000000000000004E-2</v>
      </c>
      <c r="K40" s="3">
        <v>0.08</v>
      </c>
      <c r="L40" s="3" t="s">
        <v>231</v>
      </c>
      <c r="M40" s="3" t="e">
        <v>#VALUE!</v>
      </c>
      <c r="N40" s="3"/>
      <c r="O40" s="70">
        <v>1.8083423827931961</v>
      </c>
      <c r="P40" s="70">
        <v>1.8025113866760001</v>
      </c>
      <c r="Q40" s="70">
        <v>1.8288785954439002</v>
      </c>
      <c r="R40" s="70">
        <v>1.7806569031251001</v>
      </c>
      <c r="S40" s="70">
        <v>1.8171455098797002</v>
      </c>
      <c r="T40" s="68">
        <v>1.8083423827931961</v>
      </c>
      <c r="U40" s="68">
        <v>1.8025113866760001</v>
      </c>
      <c r="V40" s="68">
        <v>1.8288785954439002</v>
      </c>
      <c r="W40" s="68">
        <v>1.7806569031251001</v>
      </c>
      <c r="X40" s="68">
        <v>1.8171455098797002</v>
      </c>
      <c r="Y40">
        <v>1.37</v>
      </c>
      <c r="Z40">
        <v>1.37</v>
      </c>
      <c r="AA40">
        <v>1.53</v>
      </c>
      <c r="AB40" s="73">
        <v>123.582393</v>
      </c>
      <c r="AC40" s="73">
        <v>122.67677922077922</v>
      </c>
      <c r="AD40" s="73">
        <v>122.67677922077922</v>
      </c>
      <c r="AE40" s="73">
        <v>122.67677922077922</v>
      </c>
      <c r="AF40" s="73">
        <v>122.67677922077922</v>
      </c>
      <c r="AG40" s="29">
        <v>123.582393</v>
      </c>
      <c r="AH40" s="29">
        <v>122.67677922077922</v>
      </c>
      <c r="AI40" s="29">
        <v>122.67677922077922</v>
      </c>
      <c r="AJ40" s="29">
        <v>122.67677922077922</v>
      </c>
      <c r="AK40" s="29">
        <v>122.67677922077922</v>
      </c>
    </row>
    <row r="41" spans="1:37">
      <c r="A41" t="s">
        <v>89</v>
      </c>
      <c r="B41">
        <v>9</v>
      </c>
      <c r="C41">
        <v>261</v>
      </c>
      <c r="D41" s="47">
        <v>24</v>
      </c>
      <c r="E41">
        <v>0</v>
      </c>
      <c r="F41">
        <v>6</v>
      </c>
      <c r="G41" s="3">
        <v>0.1038961038961039</v>
      </c>
      <c r="H41" s="3">
        <v>0</v>
      </c>
      <c r="I41" s="3">
        <v>2.5999999999999999E-2</v>
      </c>
      <c r="J41">
        <v>4.4000000000000004E-2</v>
      </c>
      <c r="K41" s="3">
        <v>0.08</v>
      </c>
      <c r="L41" s="3">
        <v>0.16139999999999999</v>
      </c>
      <c r="M41" s="3">
        <v>2.3999999999999855E-3</v>
      </c>
      <c r="N41" s="3"/>
      <c r="O41" s="70">
        <v>1.8086010407417452</v>
      </c>
      <c r="P41" s="70">
        <v>1.794641486125091</v>
      </c>
      <c r="Q41" s="70">
        <v>1.8208954516385456</v>
      </c>
      <c r="R41" s="70">
        <v>1.7730092455920001</v>
      </c>
      <c r="S41" s="70">
        <v>1.809212757938182</v>
      </c>
      <c r="T41" s="68">
        <v>1.8086010407417452</v>
      </c>
      <c r="U41" s="68">
        <v>1.794641486125091</v>
      </c>
      <c r="V41" s="68">
        <v>1.8208954516385456</v>
      </c>
      <c r="W41" s="68">
        <v>1.7730092455920001</v>
      </c>
      <c r="X41" s="68">
        <v>1.809212757938182</v>
      </c>
      <c r="Y41">
        <v>1.37</v>
      </c>
      <c r="Z41">
        <v>1.37</v>
      </c>
      <c r="AA41">
        <v>1.53</v>
      </c>
      <c r="AB41" s="73">
        <v>125.71474888684114</v>
      </c>
      <c r="AC41" s="73">
        <v>125.71474888684114</v>
      </c>
      <c r="AD41" s="73">
        <v>125.71474888684114</v>
      </c>
      <c r="AE41" s="73">
        <v>125.71474888684114</v>
      </c>
      <c r="AF41" s="73">
        <v>125.71474888684114</v>
      </c>
      <c r="AG41" s="29">
        <v>125.71474888684114</v>
      </c>
      <c r="AH41" s="29">
        <v>125.71474888684114</v>
      </c>
      <c r="AI41" s="29">
        <v>125.71474888684114</v>
      </c>
      <c r="AJ41" s="29">
        <v>125.71474888684114</v>
      </c>
      <c r="AK41" s="29">
        <v>125.71474888684114</v>
      </c>
    </row>
    <row r="42" spans="1:37">
      <c r="A42" t="s">
        <v>92</v>
      </c>
      <c r="B42">
        <v>7</v>
      </c>
      <c r="C42">
        <v>261</v>
      </c>
      <c r="D42" s="47">
        <v>25</v>
      </c>
      <c r="E42">
        <v>0</v>
      </c>
      <c r="F42">
        <v>6</v>
      </c>
      <c r="G42" s="3">
        <v>0.10869565217391304</v>
      </c>
      <c r="H42" s="3">
        <v>0</v>
      </c>
      <c r="I42" s="3">
        <v>2.6100000000000002E-2</v>
      </c>
      <c r="J42">
        <v>4.4000000000000004E-2</v>
      </c>
      <c r="K42" s="3">
        <v>8.2500000000000004E-2</v>
      </c>
      <c r="L42" s="3">
        <v>0.19089999999999999</v>
      </c>
      <c r="M42" s="3">
        <v>3.1899999999999984E-2</v>
      </c>
      <c r="N42" s="3"/>
      <c r="O42" s="70">
        <v>1.8086010407417452</v>
      </c>
      <c r="P42" s="70">
        <v>1.8071620305651412</v>
      </c>
      <c r="Q42" s="70">
        <v>1.8335644278451502</v>
      </c>
      <c r="R42" s="70">
        <v>1.7852957279720061</v>
      </c>
      <c r="S42" s="70">
        <v>1.8218429524007211</v>
      </c>
      <c r="T42" s="68">
        <v>1.8086010407417452</v>
      </c>
      <c r="U42" s="68">
        <v>1.8071620305651412</v>
      </c>
      <c r="V42" s="68">
        <v>1.8335644278451502</v>
      </c>
      <c r="W42" s="68">
        <v>1.7852957279720061</v>
      </c>
      <c r="X42" s="68">
        <v>1.8218429524007211</v>
      </c>
      <c r="Y42">
        <v>1.37</v>
      </c>
      <c r="Z42">
        <v>1.37</v>
      </c>
      <c r="AA42">
        <v>1.53</v>
      </c>
      <c r="AB42" s="73">
        <v>123.582393</v>
      </c>
      <c r="AC42" s="73">
        <v>123.49112934782609</v>
      </c>
      <c r="AD42" s="73">
        <v>123.49112934782609</v>
      </c>
      <c r="AE42" s="73">
        <v>123.49112934782609</v>
      </c>
      <c r="AF42" s="73">
        <v>123.49112934782609</v>
      </c>
      <c r="AG42" s="29">
        <v>123.582393</v>
      </c>
      <c r="AH42" s="29">
        <v>123.49112934782609</v>
      </c>
      <c r="AI42" s="29">
        <v>123.49112934782609</v>
      </c>
      <c r="AJ42" s="29">
        <v>123.49112934782609</v>
      </c>
      <c r="AK42" s="29">
        <v>123.49112934782609</v>
      </c>
    </row>
    <row r="43" spans="1:37">
      <c r="A43" t="s">
        <v>93</v>
      </c>
      <c r="B43">
        <v>8</v>
      </c>
      <c r="C43">
        <v>261</v>
      </c>
      <c r="D43" s="47">
        <v>29.166666666666664</v>
      </c>
      <c r="E43">
        <v>0</v>
      </c>
      <c r="F43">
        <v>7</v>
      </c>
      <c r="G43" s="3">
        <v>0.12972572275759819</v>
      </c>
      <c r="H43" s="3">
        <v>0</v>
      </c>
      <c r="I43" s="3">
        <v>3.1099999999999999E-2</v>
      </c>
      <c r="J43">
        <v>4.4000000000000004E-2</v>
      </c>
      <c r="K43" s="3">
        <v>0.08</v>
      </c>
      <c r="L43" s="3">
        <v>0.13150000000000001</v>
      </c>
      <c r="M43" s="3">
        <v>0</v>
      </c>
      <c r="N43" s="3"/>
      <c r="O43" s="70">
        <v>1.8519852197014233</v>
      </c>
      <c r="P43" s="70">
        <v>1.8460798602598738</v>
      </c>
      <c r="Q43" s="70">
        <v>1.8728508865578879</v>
      </c>
      <c r="R43" s="70">
        <v>1.8234629587322408</v>
      </c>
      <c r="S43" s="70">
        <v>1.860850081665675</v>
      </c>
      <c r="T43" s="68">
        <v>1.8519852197014233</v>
      </c>
      <c r="U43" s="68">
        <v>1.8460798602598738</v>
      </c>
      <c r="V43" s="68">
        <v>1.8728508865578879</v>
      </c>
      <c r="W43" s="68">
        <v>1.8234629587322408</v>
      </c>
      <c r="X43" s="68">
        <v>1.860850081665675</v>
      </c>
      <c r="Y43">
        <v>1.37</v>
      </c>
      <c r="Z43">
        <v>1.37</v>
      </c>
      <c r="AA43">
        <v>1.53</v>
      </c>
      <c r="AB43" s="73">
        <v>126.40223054633061</v>
      </c>
      <c r="AC43" s="73">
        <v>126.01717805782062</v>
      </c>
      <c r="AD43" s="73">
        <v>126.01717805782062</v>
      </c>
      <c r="AE43" s="73">
        <v>126.01717805782062</v>
      </c>
      <c r="AF43" s="73">
        <v>126.01717805782062</v>
      </c>
      <c r="AG43" s="29">
        <v>126.40223054633061</v>
      </c>
      <c r="AH43" s="29">
        <v>126.01717805782062</v>
      </c>
      <c r="AI43" s="29">
        <v>126.01717805782062</v>
      </c>
      <c r="AJ43" s="29">
        <v>126.01717805782062</v>
      </c>
      <c r="AK43" s="29">
        <v>126.01717805782062</v>
      </c>
    </row>
    <row r="44" spans="1:37">
      <c r="A44" t="s">
        <v>94</v>
      </c>
      <c r="B44">
        <v>5</v>
      </c>
      <c r="C44">
        <v>261</v>
      </c>
      <c r="D44" s="47">
        <v>24</v>
      </c>
      <c r="E44">
        <v>0</v>
      </c>
      <c r="F44">
        <v>4</v>
      </c>
      <c r="G44" s="3">
        <v>0.10300429184549356</v>
      </c>
      <c r="H44" s="3">
        <v>0</v>
      </c>
      <c r="I44" s="3">
        <v>1.72E-2</v>
      </c>
      <c r="J44">
        <v>4.4000000000000004E-2</v>
      </c>
      <c r="K44" s="3">
        <v>0.08</v>
      </c>
      <c r="L44" s="3">
        <v>0.16139999999999999</v>
      </c>
      <c r="M44" s="3">
        <v>2.3999999999999855E-3</v>
      </c>
      <c r="N44" s="3"/>
      <c r="O44" s="70">
        <v>1.7922362696674281</v>
      </c>
      <c r="P44" s="70">
        <v>1.7785016994309526</v>
      </c>
      <c r="Q44" s="70">
        <v>1.8045953010329097</v>
      </c>
      <c r="R44" s="70">
        <v>1.7572449605649683</v>
      </c>
      <c r="S44" s="70">
        <v>1.7930122876388703</v>
      </c>
      <c r="T44" s="68">
        <v>1.7922362696674281</v>
      </c>
      <c r="U44" s="68">
        <v>1.7785016994309526</v>
      </c>
      <c r="V44" s="68">
        <v>1.8045953010329097</v>
      </c>
      <c r="W44" s="68">
        <v>1.7572449605649683</v>
      </c>
      <c r="X44" s="68">
        <v>1.7930122876388703</v>
      </c>
      <c r="Y44">
        <v>1.37</v>
      </c>
      <c r="Z44">
        <v>1.37</v>
      </c>
      <c r="AA44">
        <v>1.53</v>
      </c>
      <c r="AB44" s="73">
        <v>122.51674737931035</v>
      </c>
      <c r="AC44" s="73">
        <v>121.6300635193133</v>
      </c>
      <c r="AD44" s="73">
        <v>121.6300635193133</v>
      </c>
      <c r="AE44" s="73">
        <v>121.6300635193133</v>
      </c>
      <c r="AF44" s="73">
        <v>121.6300635193133</v>
      </c>
      <c r="AG44" s="29">
        <v>122.51674737931035</v>
      </c>
      <c r="AH44" s="29">
        <v>121.6300635193133</v>
      </c>
      <c r="AI44" s="29">
        <v>121.6300635193133</v>
      </c>
      <c r="AJ44" s="29">
        <v>121.6300635193133</v>
      </c>
      <c r="AK44" s="29">
        <v>121.6300635193133</v>
      </c>
    </row>
    <row r="45" spans="1:37">
      <c r="A45" t="s">
        <v>95</v>
      </c>
      <c r="B45">
        <v>9</v>
      </c>
      <c r="C45">
        <v>261</v>
      </c>
      <c r="D45" s="47">
        <v>25</v>
      </c>
      <c r="E45">
        <v>0</v>
      </c>
      <c r="F45">
        <v>6</v>
      </c>
      <c r="G45" s="3">
        <v>0.10869565217391304</v>
      </c>
      <c r="H45" s="3">
        <v>0</v>
      </c>
      <c r="I45" s="3">
        <v>2.6100000000000002E-2</v>
      </c>
      <c r="J45">
        <v>4.4000000000000004E-2</v>
      </c>
      <c r="K45" s="3">
        <v>0.08</v>
      </c>
      <c r="L45" s="3">
        <v>0.1157</v>
      </c>
      <c r="M45" s="3">
        <v>0</v>
      </c>
      <c r="N45" s="3"/>
      <c r="O45" s="70">
        <v>1.8086010407417452</v>
      </c>
      <c r="P45" s="70">
        <v>1.8027692566884002</v>
      </c>
      <c r="Q45" s="70">
        <v>1.8291364654563003</v>
      </c>
      <c r="R45" s="70">
        <v>1.7806569031251001</v>
      </c>
      <c r="S45" s="70">
        <v>1.8171455098797002</v>
      </c>
      <c r="T45" s="68">
        <v>1.8086010407417452</v>
      </c>
      <c r="U45" s="68">
        <v>1.8027692566884002</v>
      </c>
      <c r="V45" s="68">
        <v>1.8291364654563003</v>
      </c>
      <c r="W45" s="68">
        <v>1.7806569031251001</v>
      </c>
      <c r="X45" s="68">
        <v>1.8171455098797002</v>
      </c>
      <c r="Y45">
        <v>1.37</v>
      </c>
      <c r="Z45">
        <v>1.37</v>
      </c>
      <c r="AA45">
        <v>1.53</v>
      </c>
      <c r="AB45" s="73">
        <v>123.582393</v>
      </c>
      <c r="AC45" s="73">
        <v>123.20593043478262</v>
      </c>
      <c r="AD45" s="73">
        <v>123.20593043478262</v>
      </c>
      <c r="AE45" s="73">
        <v>123.20593043478262</v>
      </c>
      <c r="AF45" s="73">
        <v>123.20593043478262</v>
      </c>
      <c r="AG45" s="29">
        <v>123.582393</v>
      </c>
      <c r="AH45" s="29">
        <v>123.20593043478262</v>
      </c>
      <c r="AI45" s="29">
        <v>123.20593043478262</v>
      </c>
      <c r="AJ45" s="29">
        <v>123.20593043478262</v>
      </c>
      <c r="AK45" s="29">
        <v>123.20593043478262</v>
      </c>
    </row>
    <row r="46" spans="1:37">
      <c r="A46" t="s">
        <v>96</v>
      </c>
      <c r="B46">
        <v>8</v>
      </c>
      <c r="C46">
        <v>261</v>
      </c>
      <c r="D46" s="47">
        <v>27.916666666666664</v>
      </c>
      <c r="E46">
        <v>0</v>
      </c>
      <c r="F46">
        <v>7</v>
      </c>
      <c r="G46" s="3">
        <v>0.12347954294139328</v>
      </c>
      <c r="H46" s="3">
        <v>0</v>
      </c>
      <c r="I46" s="3">
        <v>3.1E-2</v>
      </c>
      <c r="J46">
        <v>4.4000000000000004E-2</v>
      </c>
      <c r="K46" s="3">
        <v>0.08</v>
      </c>
      <c r="L46" s="3">
        <v>0.1295</v>
      </c>
      <c r="M46" s="3">
        <v>0</v>
      </c>
      <c r="N46" s="3"/>
      <c r="O46" s="70">
        <v>1.8413863242446242</v>
      </c>
      <c r="P46" s="70">
        <v>1.8355146861785476</v>
      </c>
      <c r="Q46" s="70">
        <v>1.8622712688346212</v>
      </c>
      <c r="R46" s="70">
        <v>1.8131519541057017</v>
      </c>
      <c r="S46" s="70">
        <v>1.8503357344145099</v>
      </c>
      <c r="T46" s="68">
        <v>1.8413863242446242</v>
      </c>
      <c r="U46" s="68">
        <v>1.8355146861785476</v>
      </c>
      <c r="V46" s="68">
        <v>1.8622712688346212</v>
      </c>
      <c r="W46" s="68">
        <v>1.8131519541057017</v>
      </c>
      <c r="X46" s="68">
        <v>1.8503357344145099</v>
      </c>
      <c r="Y46">
        <v>1.37</v>
      </c>
      <c r="Z46">
        <v>1.37</v>
      </c>
      <c r="AA46">
        <v>1.53</v>
      </c>
      <c r="AB46" s="73">
        <v>125.71474888684114</v>
      </c>
      <c r="AC46" s="73">
        <v>125.33179063767048</v>
      </c>
      <c r="AD46" s="73">
        <v>125.33179063767048</v>
      </c>
      <c r="AE46" s="73">
        <v>125.33179063767048</v>
      </c>
      <c r="AF46" s="73">
        <v>125.33179063767048</v>
      </c>
      <c r="AG46" s="29">
        <v>125.71474888684114</v>
      </c>
      <c r="AH46" s="29">
        <v>125.33179063767048</v>
      </c>
      <c r="AI46" s="29">
        <v>125.33179063767048</v>
      </c>
      <c r="AJ46" s="29">
        <v>125.33179063767048</v>
      </c>
      <c r="AK46" s="29">
        <v>125.33179063767048</v>
      </c>
    </row>
  </sheetData>
  <sheetProtection algorithmName="SHA-512" hashValue="B/lb4SoGGk7olJtTq8UiSylfiUuihJo6bjH8C5aKljT5HFVTM43iHQlzHEl3WD2n1VqIiqrznCYh/1x8VlL25g==" saltValue="S+SkgO0/I3a/UZbwQzUEbg==" spinCount="100000" sheet="1" selectLockedCells="1" selectUnlockedCells="1"/>
  <autoFilter ref="A1:AK1" xr:uid="{D516732A-819A-4C6E-88A9-8F95DC8C4268}">
    <sortState xmlns:xlrd2="http://schemas.microsoft.com/office/spreadsheetml/2017/richdata2" ref="A2:AK46">
      <sortCondition descending="1" ref="AB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B73DA-33C0-420F-8B35-81D1BA31F662}">
  <sheetPr codeName="Blad4"/>
  <dimension ref="A1"/>
  <sheetViews>
    <sheetView workbookViewId="0"/>
  </sheetViews>
  <sheetFormatPr defaultColWidth="11.33203125" defaultRowHeight="14.4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6F0AA-6A75-4223-BE6B-4523810B1A5E}">
  <sheetPr codeName="Blad5"/>
  <dimension ref="N49:BD74"/>
  <sheetViews>
    <sheetView workbookViewId="0"/>
  </sheetViews>
  <sheetFormatPr defaultColWidth="8.6640625" defaultRowHeight="14.4"/>
  <cols>
    <col min="33" max="33" width="26.33203125" bestFit="1" customWidth="1"/>
    <col min="36" max="36" width="16" bestFit="1" customWidth="1"/>
    <col min="42" max="42" width="26.33203125" bestFit="1" customWidth="1"/>
    <col min="44" max="44" width="11.33203125" customWidth="1"/>
    <col min="45" max="45" width="21.6640625" bestFit="1" customWidth="1"/>
    <col min="51" max="51" width="26.33203125" bestFit="1" customWidth="1"/>
    <col min="53" max="53" width="9.33203125" bestFit="1" customWidth="1"/>
    <col min="54" max="54" width="12.33203125" bestFit="1" customWidth="1"/>
  </cols>
  <sheetData>
    <row r="49" spans="14:56">
      <c r="R49" t="s">
        <v>97</v>
      </c>
      <c r="AA49" t="s">
        <v>59</v>
      </c>
      <c r="AJ49" t="s">
        <v>98</v>
      </c>
      <c r="AS49" t="s">
        <v>99</v>
      </c>
      <c r="BB49" t="s">
        <v>63</v>
      </c>
    </row>
    <row r="50" spans="14:56">
      <c r="N50" t="s">
        <v>100</v>
      </c>
      <c r="R50" t="s">
        <v>101</v>
      </c>
      <c r="S50" t="s">
        <v>102</v>
      </c>
      <c r="T50" t="s">
        <v>103</v>
      </c>
      <c r="W50" t="s">
        <v>100</v>
      </c>
      <c r="AA50" t="s">
        <v>104</v>
      </c>
      <c r="AB50" t="s">
        <v>102</v>
      </c>
      <c r="AC50" t="s">
        <v>103</v>
      </c>
      <c r="AF50" t="s">
        <v>100</v>
      </c>
      <c r="AJ50" t="s">
        <v>104</v>
      </c>
      <c r="AK50" t="s">
        <v>102</v>
      </c>
      <c r="AL50" t="s">
        <v>103</v>
      </c>
      <c r="AO50" t="s">
        <v>100</v>
      </c>
      <c r="AS50" t="s">
        <v>105</v>
      </c>
      <c r="AT50" t="s">
        <v>102</v>
      </c>
      <c r="AU50" t="s">
        <v>103</v>
      </c>
      <c r="AX50" t="s">
        <v>100</v>
      </c>
      <c r="BB50" t="s">
        <v>63</v>
      </c>
      <c r="BC50" t="s">
        <v>102</v>
      </c>
      <c r="BD50" t="s">
        <v>103</v>
      </c>
    </row>
    <row r="51" spans="14:56">
      <c r="O51" t="s">
        <v>106</v>
      </c>
      <c r="R51" s="39">
        <v>0.27979999999999999</v>
      </c>
      <c r="S51" s="39">
        <v>0.17699999999999999</v>
      </c>
      <c r="T51" s="39">
        <v>0.1028</v>
      </c>
      <c r="X51" t="s">
        <v>106</v>
      </c>
      <c r="AA51" s="39"/>
      <c r="AB51" s="39">
        <v>0.17</v>
      </c>
      <c r="AC51" s="39"/>
      <c r="AG51" t="s">
        <v>106</v>
      </c>
      <c r="AJ51" s="39"/>
      <c r="AK51" s="39">
        <v>0.19839999999999999</v>
      </c>
      <c r="AL51" s="39">
        <v>0.1016</v>
      </c>
      <c r="AP51" t="s">
        <v>106</v>
      </c>
      <c r="AS51" s="39"/>
      <c r="AT51" s="39" t="s">
        <v>107</v>
      </c>
      <c r="AU51" s="39">
        <v>0.1016</v>
      </c>
      <c r="AY51" t="s">
        <v>106</v>
      </c>
      <c r="BB51" s="39"/>
      <c r="BC51" s="39">
        <v>0.107</v>
      </c>
      <c r="BD51" s="39">
        <v>0.1016</v>
      </c>
    </row>
    <row r="52" spans="14:56">
      <c r="O52" t="s">
        <v>108</v>
      </c>
      <c r="P52">
        <v>635.65</v>
      </c>
      <c r="Q52" s="34">
        <f>P52/40</f>
        <v>15.891249999999999</v>
      </c>
      <c r="X52" t="s">
        <v>108</v>
      </c>
      <c r="Y52">
        <v>635.65</v>
      </c>
      <c r="Z52" s="34">
        <f>Y52/40</f>
        <v>15.891249999999999</v>
      </c>
      <c r="AG52" t="s">
        <v>108</v>
      </c>
      <c r="AH52">
        <v>635.65</v>
      </c>
      <c r="AI52" s="34">
        <f>AH52/40</f>
        <v>15.891249999999999</v>
      </c>
      <c r="AP52" t="s">
        <v>108</v>
      </c>
      <c r="AQ52">
        <v>635.65</v>
      </c>
      <c r="AR52" s="34">
        <f>AQ52/40</f>
        <v>15.891249999999999</v>
      </c>
      <c r="AY52" t="s">
        <v>108</v>
      </c>
      <c r="AZ52">
        <v>635.65</v>
      </c>
      <c r="BA52" s="34">
        <f>AZ52/40</f>
        <v>15.891249999999999</v>
      </c>
    </row>
    <row r="53" spans="14:56">
      <c r="O53" t="s">
        <v>109</v>
      </c>
      <c r="Q53" s="34">
        <v>8.9</v>
      </c>
      <c r="X53" t="s">
        <v>109</v>
      </c>
      <c r="Z53" s="34">
        <v>8.9</v>
      </c>
      <c r="AG53" t="s">
        <v>109</v>
      </c>
      <c r="AI53" s="34">
        <v>8.9</v>
      </c>
      <c r="AJ53" s="36"/>
      <c r="AP53" t="s">
        <v>109</v>
      </c>
      <c r="AR53" s="34">
        <v>8.9</v>
      </c>
      <c r="AS53" s="36"/>
      <c r="AY53" t="s">
        <v>109</v>
      </c>
      <c r="BA53" s="34">
        <v>8.9</v>
      </c>
      <c r="BB53" s="36"/>
    </row>
    <row r="54" spans="14:56">
      <c r="O54" t="s">
        <v>110</v>
      </c>
      <c r="Q54" s="34">
        <f>Q52-Q53</f>
        <v>6.9912499999999991</v>
      </c>
      <c r="X54" t="s">
        <v>110</v>
      </c>
      <c r="Z54" s="34">
        <f>Z52-Z53</f>
        <v>6.9912499999999991</v>
      </c>
      <c r="AG54" t="s">
        <v>110</v>
      </c>
      <c r="AI54" s="34">
        <f>AI52-AI53</f>
        <v>6.9912499999999991</v>
      </c>
      <c r="AP54" t="s">
        <v>110</v>
      </c>
      <c r="AR54" s="34">
        <f>AR52-AR53</f>
        <v>6.9912499999999991</v>
      </c>
      <c r="AY54" t="s">
        <v>110</v>
      </c>
      <c r="BA54" s="34">
        <f>BA52-BA53</f>
        <v>6.9912499999999991</v>
      </c>
    </row>
    <row r="55" spans="14:56">
      <c r="O55" t="s">
        <v>111</v>
      </c>
      <c r="Q55" s="3">
        <f>S51-15.9%</f>
        <v>1.7999999999999988E-2</v>
      </c>
      <c r="R55" s="36"/>
      <c r="X55" t="s">
        <v>111</v>
      </c>
      <c r="Z55" s="3">
        <f>AB51-15.9%</f>
        <v>1.100000000000001E-2</v>
      </c>
      <c r="AA55" s="36"/>
      <c r="AG55" t="s">
        <v>111</v>
      </c>
      <c r="AI55" s="3">
        <f>AK51-15.9%</f>
        <v>3.9399999999999991E-2</v>
      </c>
      <c r="AJ55" s="36"/>
      <c r="AP55" t="s">
        <v>111</v>
      </c>
      <c r="AR55" s="3" t="e">
        <f>AT51-15.9%</f>
        <v>#VALUE!</v>
      </c>
      <c r="AS55" s="36"/>
      <c r="AY55" t="s">
        <v>111</v>
      </c>
      <c r="BA55" s="3">
        <f>BC51-15.9%</f>
        <v>-5.2000000000000005E-2</v>
      </c>
      <c r="BB55" s="36"/>
    </row>
    <row r="56" spans="14:56">
      <c r="O56" t="s">
        <v>112</v>
      </c>
      <c r="Q56" s="36">
        <f>Q54*Q55</f>
        <v>0.12584249999999991</v>
      </c>
      <c r="X56" t="s">
        <v>112</v>
      </c>
      <c r="Z56" s="36">
        <f>Z54*Z55</f>
        <v>7.6903750000000062E-2</v>
      </c>
      <c r="AG56" t="s">
        <v>112</v>
      </c>
      <c r="AI56" s="36">
        <f>AI54*AI55</f>
        <v>0.27545524999999987</v>
      </c>
      <c r="AP56" t="s">
        <v>112</v>
      </c>
      <c r="AR56" s="36" t="e">
        <f>AR54*AR55</f>
        <v>#VALUE!</v>
      </c>
      <c r="AY56" t="s">
        <v>112</v>
      </c>
      <c r="BA56" s="36">
        <f>BA54*BA55</f>
        <v>-0.36354500000000001</v>
      </c>
    </row>
    <row r="57" spans="14:56">
      <c r="O57" t="s">
        <v>113</v>
      </c>
      <c r="Q57" s="36">
        <f>Q56*0.853</f>
        <v>0.10734365249999993</v>
      </c>
      <c r="X57" t="s">
        <v>113</v>
      </c>
      <c r="Z57" s="36">
        <f>Z56*0.853</f>
        <v>6.5598898750000051E-2</v>
      </c>
      <c r="AG57" t="s">
        <v>113</v>
      </c>
      <c r="AI57" s="36">
        <f>AI56*0.853</f>
        <v>0.23496332824999988</v>
      </c>
      <c r="AP57" t="s">
        <v>113</v>
      </c>
      <c r="AR57" s="36" t="e">
        <f>AR56*0.853</f>
        <v>#VALUE!</v>
      </c>
      <c r="AY57" t="s">
        <v>113</v>
      </c>
      <c r="BA57" s="36">
        <f>BA56*0.853</f>
        <v>-0.31010388500000002</v>
      </c>
    </row>
    <row r="58" spans="14:56">
      <c r="O58" t="s">
        <v>114</v>
      </c>
      <c r="Q58" s="36">
        <f>Q57*1.45</f>
        <v>0.15564829612499989</v>
      </c>
      <c r="X58" t="s">
        <v>114</v>
      </c>
      <c r="Z58" s="36">
        <f>Z57*1.45</f>
        <v>9.5118403187500075E-2</v>
      </c>
      <c r="AG58" t="s">
        <v>114</v>
      </c>
      <c r="AI58" s="36">
        <f>AI57*1.45</f>
        <v>0.34069682596249984</v>
      </c>
      <c r="AP58" t="s">
        <v>114</v>
      </c>
      <c r="AR58" s="36" t="e">
        <f>AR57*1.45</f>
        <v>#VALUE!</v>
      </c>
      <c r="AY58" t="s">
        <v>114</v>
      </c>
      <c r="BA58" s="36">
        <f>BA57*1.45</f>
        <v>-0.44965063325000004</v>
      </c>
    </row>
    <row r="62" spans="14:56">
      <c r="N62" t="s">
        <v>115</v>
      </c>
      <c r="R62" t="s">
        <v>101</v>
      </c>
      <c r="S62" t="s">
        <v>102</v>
      </c>
      <c r="T62" t="s">
        <v>103</v>
      </c>
      <c r="W62" t="s">
        <v>115</v>
      </c>
      <c r="AA62" t="s">
        <v>104</v>
      </c>
      <c r="AB62" t="s">
        <v>102</v>
      </c>
      <c r="AC62" t="s">
        <v>103</v>
      </c>
      <c r="AF62" t="s">
        <v>115</v>
      </c>
      <c r="AJ62" t="s">
        <v>104</v>
      </c>
      <c r="AK62" t="s">
        <v>102</v>
      </c>
      <c r="AL62" t="s">
        <v>103</v>
      </c>
      <c r="AO62" t="s">
        <v>115</v>
      </c>
      <c r="AS62" t="str">
        <f>AS50</f>
        <v>Technische</v>
      </c>
      <c r="AT62" t="s">
        <v>102</v>
      </c>
      <c r="AU62" t="s">
        <v>103</v>
      </c>
      <c r="AX62" t="s">
        <v>115</v>
      </c>
      <c r="BB62" t="s">
        <v>63</v>
      </c>
      <c r="BC62" t="s">
        <v>102</v>
      </c>
      <c r="BD62" t="s">
        <v>103</v>
      </c>
    </row>
    <row r="63" spans="14:56">
      <c r="O63" t="s">
        <v>106</v>
      </c>
      <c r="R63" s="39">
        <v>0.27979999999999999</v>
      </c>
      <c r="S63" s="39">
        <v>0.17699999999999999</v>
      </c>
      <c r="T63" s="39">
        <v>0.1028</v>
      </c>
      <c r="X63" t="s">
        <v>106</v>
      </c>
      <c r="AA63" s="39"/>
      <c r="AB63" s="39">
        <f>AB51</f>
        <v>0.17</v>
      </c>
      <c r="AC63" s="39"/>
      <c r="AG63" t="s">
        <v>106</v>
      </c>
      <c r="AJ63" s="39"/>
      <c r="AK63" s="39">
        <f>AK51</f>
        <v>0.19839999999999999</v>
      </c>
      <c r="AL63" s="39">
        <v>0.1016</v>
      </c>
      <c r="AP63" t="s">
        <v>106</v>
      </c>
      <c r="AS63" s="39"/>
      <c r="AT63" s="39" t="str">
        <f>AT51</f>
        <v>??</v>
      </c>
      <c r="AU63" s="39">
        <v>0.1016</v>
      </c>
      <c r="AY63" t="s">
        <v>106</v>
      </c>
      <c r="BB63" s="39"/>
      <c r="BC63" s="39">
        <f>BC51</f>
        <v>0.107</v>
      </c>
      <c r="BD63" s="39">
        <v>0.1016</v>
      </c>
    </row>
    <row r="64" spans="14:56">
      <c r="O64" t="s">
        <v>108</v>
      </c>
      <c r="P64">
        <v>635.65</v>
      </c>
      <c r="Q64" s="34">
        <f>P64/40</f>
        <v>15.891249999999999</v>
      </c>
      <c r="X64" t="s">
        <v>108</v>
      </c>
      <c r="Y64">
        <v>635.65</v>
      </c>
      <c r="Z64" s="34">
        <f>Y64/40</f>
        <v>15.891249999999999</v>
      </c>
      <c r="AG64" t="s">
        <v>108</v>
      </c>
      <c r="AH64">
        <v>635.65</v>
      </c>
      <c r="AI64" s="34">
        <f>AH64/40</f>
        <v>15.891249999999999</v>
      </c>
      <c r="AP64" t="s">
        <v>108</v>
      </c>
      <c r="AQ64">
        <v>635.65</v>
      </c>
      <c r="AR64" s="34">
        <f>AQ64/40</f>
        <v>15.891249999999999</v>
      </c>
      <c r="AY64" t="s">
        <v>108</v>
      </c>
      <c r="AZ64">
        <v>635.65</v>
      </c>
      <c r="BA64" s="34">
        <f>AZ64/40</f>
        <v>15.891249999999999</v>
      </c>
    </row>
    <row r="65" spans="15:54">
      <c r="O65" t="s">
        <v>109</v>
      </c>
      <c r="Q65" s="34">
        <v>9.35</v>
      </c>
      <c r="X65" t="s">
        <v>109</v>
      </c>
      <c r="Z65" s="34">
        <v>9.35</v>
      </c>
      <c r="AG65" t="s">
        <v>109</v>
      </c>
      <c r="AI65" s="34">
        <f>16555/2080</f>
        <v>7.959134615384615</v>
      </c>
      <c r="AJ65" s="36"/>
      <c r="AP65" t="s">
        <v>109</v>
      </c>
      <c r="AR65" s="34">
        <f>16555/2080</f>
        <v>7.959134615384615</v>
      </c>
      <c r="AS65" s="36"/>
      <c r="AY65" t="s">
        <v>109</v>
      </c>
      <c r="BA65" s="34">
        <v>7.47</v>
      </c>
      <c r="BB65" s="36"/>
    </row>
    <row r="66" spans="15:54">
      <c r="O66" t="s">
        <v>110</v>
      </c>
      <c r="Q66" s="34">
        <f>Q64-Q65</f>
        <v>6.5412499999999998</v>
      </c>
      <c r="X66" t="s">
        <v>110</v>
      </c>
      <c r="Z66" s="34">
        <f>Z64-Z65</f>
        <v>6.5412499999999998</v>
      </c>
      <c r="AG66" t="s">
        <v>110</v>
      </c>
      <c r="AI66" s="34">
        <f>AI64-AI65</f>
        <v>7.9321153846153845</v>
      </c>
      <c r="AP66" t="s">
        <v>110</v>
      </c>
      <c r="AR66" s="34">
        <f>AR64-AR65</f>
        <v>7.9321153846153845</v>
      </c>
      <c r="AY66" t="s">
        <v>110</v>
      </c>
      <c r="BA66" s="34">
        <f>BA64-BA65</f>
        <v>8.4212500000000006</v>
      </c>
    </row>
    <row r="67" spans="15:54">
      <c r="O67" t="s">
        <v>111</v>
      </c>
      <c r="Q67" s="3">
        <f>S63</f>
        <v>0.17699999999999999</v>
      </c>
      <c r="X67" t="s">
        <v>111</v>
      </c>
      <c r="Z67" s="3">
        <f>AB63</f>
        <v>0.17</v>
      </c>
      <c r="AG67" t="s">
        <v>111</v>
      </c>
      <c r="AI67" s="3">
        <f>AK63</f>
        <v>0.19839999999999999</v>
      </c>
      <c r="AP67" t="s">
        <v>111</v>
      </c>
      <c r="AR67" s="3" t="str">
        <f>AT63</f>
        <v>??</v>
      </c>
      <c r="AY67" t="s">
        <v>111</v>
      </c>
      <c r="BA67" s="3">
        <f>BC63</f>
        <v>0.107</v>
      </c>
    </row>
    <row r="68" spans="15:54">
      <c r="O68" t="s">
        <v>112</v>
      </c>
      <c r="Q68" s="36">
        <f>Q66*Q67-(Q54*15.9%)</f>
        <v>4.6192500000000081E-2</v>
      </c>
      <c r="X68" t="s">
        <v>112</v>
      </c>
      <c r="Z68" s="44">
        <f>Z66*Z67-(Z54*15.9%)</f>
        <v>4.0375000000025807E-4</v>
      </c>
      <c r="AG68" t="s">
        <v>112</v>
      </c>
      <c r="AI68" s="34">
        <f>AI66*AI67-(AI54*15.9%)</f>
        <v>0.46212294230769246</v>
      </c>
      <c r="AP68" t="s">
        <v>112</v>
      </c>
      <c r="AR68" s="44" t="e">
        <f>AR66*AR67-(AR54*15.9%)</f>
        <v>#VALUE!</v>
      </c>
      <c r="AY68" t="s">
        <v>112</v>
      </c>
      <c r="BA68" s="34">
        <f>BA66*BA67-(BA54*15.9%)</f>
        <v>-0.21053499999999981</v>
      </c>
    </row>
    <row r="69" spans="15:54">
      <c r="O69" t="s">
        <v>113</v>
      </c>
      <c r="Q69" s="36">
        <f>Q68*0.853</f>
        <v>3.9402202500000066E-2</v>
      </c>
      <c r="X69" t="s">
        <v>113</v>
      </c>
      <c r="Z69" s="44">
        <f>Z68*0.853</f>
        <v>3.4439875000022012E-4</v>
      </c>
      <c r="AG69" t="s">
        <v>113</v>
      </c>
      <c r="AI69" s="34">
        <f>AI68*0.853</f>
        <v>0.39419086978846168</v>
      </c>
      <c r="AP69" t="s">
        <v>113</v>
      </c>
      <c r="AR69" s="44" t="e">
        <f>AR68*0.853</f>
        <v>#VALUE!</v>
      </c>
      <c r="AY69" t="s">
        <v>113</v>
      </c>
      <c r="BA69" s="34">
        <f>BA68*0.853</f>
        <v>-0.17958635499999984</v>
      </c>
    </row>
    <row r="70" spans="15:54">
      <c r="O70" t="s">
        <v>114</v>
      </c>
      <c r="Q70" s="36">
        <f>Q69*1.45</f>
        <v>5.7133193625000092E-2</v>
      </c>
      <c r="X70" t="s">
        <v>114</v>
      </c>
      <c r="Z70" s="44">
        <f>Z69*1.45</f>
        <v>4.9937818750031917E-4</v>
      </c>
      <c r="AG70" t="s">
        <v>114</v>
      </c>
      <c r="AI70" s="34">
        <f>AI69*1.45</f>
        <v>0.57157676119326939</v>
      </c>
      <c r="AP70" t="s">
        <v>114</v>
      </c>
      <c r="AR70" s="44" t="e">
        <f>AR69*1.45</f>
        <v>#VALUE!</v>
      </c>
      <c r="AY70" t="s">
        <v>114</v>
      </c>
      <c r="BA70" s="34">
        <f>BA69*1.45</f>
        <v>-0.26040021474999975</v>
      </c>
    </row>
    <row r="72" spans="15:54">
      <c r="O72" t="s">
        <v>111</v>
      </c>
      <c r="Q72" s="36">
        <f>Q58-Q70</f>
        <v>9.8515102499999799E-2</v>
      </c>
      <c r="X72" t="s">
        <v>111</v>
      </c>
      <c r="Z72" s="36">
        <f>Z58-Z70</f>
        <v>9.461902499999976E-2</v>
      </c>
      <c r="AG72" t="s">
        <v>111</v>
      </c>
      <c r="AI72" s="36">
        <f>AI58-AI70</f>
        <v>-0.23087993523076955</v>
      </c>
      <c r="AP72" t="s">
        <v>111</v>
      </c>
      <c r="AR72" s="36" t="e">
        <f>AR58-AR70</f>
        <v>#VALUE!</v>
      </c>
      <c r="AY72" t="s">
        <v>111</v>
      </c>
      <c r="BA72" s="36">
        <f>BA58-BA70</f>
        <v>-0.18925041850000029</v>
      </c>
    </row>
    <row r="74" spans="15:54">
      <c r="P74" t="s">
        <v>116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74C6D-0EA0-48C7-A215-6E2D9B3BA7C0}">
  <sheetPr codeName="Blad6"/>
  <dimension ref="A1:C11"/>
  <sheetViews>
    <sheetView workbookViewId="0"/>
  </sheetViews>
  <sheetFormatPr defaultColWidth="8.6640625" defaultRowHeight="14.4"/>
  <cols>
    <col min="1" max="1" width="15.33203125" bestFit="1" customWidth="1"/>
    <col min="2" max="2" width="20.33203125" customWidth="1"/>
    <col min="3" max="3" width="21" customWidth="1"/>
  </cols>
  <sheetData>
    <row r="1" spans="1:3">
      <c r="A1" s="25" t="s">
        <v>117</v>
      </c>
      <c r="B1" s="25" t="s">
        <v>118</v>
      </c>
      <c r="C1" s="25" t="s">
        <v>119</v>
      </c>
    </row>
    <row r="2" spans="1:3">
      <c r="A2" s="26" t="s">
        <v>120</v>
      </c>
      <c r="B2" s="27">
        <v>46023</v>
      </c>
      <c r="C2" s="26" t="s">
        <v>121</v>
      </c>
    </row>
    <row r="3" spans="1:3">
      <c r="A3" s="26" t="s">
        <v>122</v>
      </c>
      <c r="B3" s="27">
        <v>46115</v>
      </c>
      <c r="C3" s="26" t="s">
        <v>123</v>
      </c>
    </row>
    <row r="4" spans="1:3">
      <c r="A4" s="26" t="s">
        <v>124</v>
      </c>
      <c r="B4" s="27">
        <v>46117</v>
      </c>
      <c r="C4" s="26" t="s">
        <v>125</v>
      </c>
    </row>
    <row r="5" spans="1:3">
      <c r="A5" s="26" t="s">
        <v>126</v>
      </c>
      <c r="B5" s="27">
        <v>46118</v>
      </c>
      <c r="C5" s="26" t="s">
        <v>127</v>
      </c>
    </row>
    <row r="6" spans="1:3">
      <c r="A6" s="26" t="s">
        <v>128</v>
      </c>
      <c r="B6" s="27">
        <v>46139</v>
      </c>
      <c r="C6" s="26" t="s">
        <v>127</v>
      </c>
    </row>
    <row r="7" spans="1:3">
      <c r="A7" s="26" t="s">
        <v>129</v>
      </c>
      <c r="B7" s="27">
        <v>46156</v>
      </c>
      <c r="C7" s="26" t="s">
        <v>121</v>
      </c>
    </row>
    <row r="8" spans="1:3">
      <c r="A8" s="26" t="s">
        <v>130</v>
      </c>
      <c r="B8" s="27">
        <v>46166</v>
      </c>
      <c r="C8" s="26" t="s">
        <v>125</v>
      </c>
    </row>
    <row r="9" spans="1:3">
      <c r="A9" s="26" t="s">
        <v>131</v>
      </c>
      <c r="B9" s="27">
        <v>46167</v>
      </c>
      <c r="C9" s="26" t="s">
        <v>127</v>
      </c>
    </row>
    <row r="10" spans="1:3">
      <c r="A10" s="26" t="s">
        <v>132</v>
      </c>
      <c r="B10" s="27">
        <v>46381</v>
      </c>
      <c r="C10" s="26" t="s">
        <v>123</v>
      </c>
    </row>
    <row r="11" spans="1:3">
      <c r="A11" s="26" t="s">
        <v>133</v>
      </c>
      <c r="B11" s="27">
        <v>46382</v>
      </c>
      <c r="C11" s="26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5EDC8-8669-4799-BF6C-A5EC4EAF3AEC}">
  <sheetPr codeName="Blad8"/>
  <dimension ref="A1:O69"/>
  <sheetViews>
    <sheetView workbookViewId="0"/>
  </sheetViews>
  <sheetFormatPr defaultColWidth="8.6640625" defaultRowHeight="14.4"/>
  <cols>
    <col min="1" max="1" width="21.33203125" customWidth="1"/>
    <col min="2" max="2" width="15.33203125" customWidth="1"/>
    <col min="3" max="3" width="25.33203125" customWidth="1"/>
    <col min="4" max="4" width="21.109375" bestFit="1" customWidth="1"/>
    <col min="5" max="5" width="20.33203125" bestFit="1" customWidth="1"/>
    <col min="6" max="6" width="20.33203125" customWidth="1"/>
    <col min="7" max="7" width="19.109375" bestFit="1" customWidth="1"/>
    <col min="8" max="8" width="21.33203125" customWidth="1"/>
    <col min="9" max="9" width="21.33203125" bestFit="1" customWidth="1"/>
    <col min="10" max="10" width="19.33203125" bestFit="1" customWidth="1"/>
    <col min="11" max="11" width="13.6640625" customWidth="1"/>
    <col min="13" max="13" width="14.33203125" customWidth="1"/>
    <col min="14" max="14" width="18.33203125" bestFit="1" customWidth="1"/>
    <col min="15" max="15" width="11.33203125" bestFit="1" customWidth="1"/>
  </cols>
  <sheetData>
    <row r="1" spans="1:15">
      <c r="A1" t="s">
        <v>135</v>
      </c>
    </row>
    <row r="2" spans="1:15">
      <c r="A2" t="s">
        <v>136</v>
      </c>
      <c r="B2">
        <v>14.71</v>
      </c>
      <c r="D2">
        <v>14.4</v>
      </c>
      <c r="E2" s="3">
        <v>2.5899999999999999E-2</v>
      </c>
      <c r="F2">
        <f>(D3*E2)*B3</f>
        <v>15.540000000000001</v>
      </c>
    </row>
    <row r="3" spans="1:15">
      <c r="A3" t="s">
        <v>137</v>
      </c>
      <c r="B3">
        <v>40</v>
      </c>
      <c r="D3">
        <v>15</v>
      </c>
      <c r="E3">
        <f>(D3-D2)*40</f>
        <v>23.999999999999986</v>
      </c>
    </row>
    <row r="4" spans="1:15">
      <c r="A4" t="s">
        <v>138</v>
      </c>
      <c r="B4" s="37">
        <v>0.25</v>
      </c>
    </row>
    <row r="5" spans="1:15">
      <c r="B5" s="37"/>
    </row>
    <row r="6" spans="1:15">
      <c r="B6" s="37"/>
    </row>
    <row r="7" spans="1:15">
      <c r="A7" s="5" t="s">
        <v>139</v>
      </c>
      <c r="B7" s="37"/>
    </row>
    <row r="8" spans="1:15">
      <c r="A8" t="s">
        <v>140</v>
      </c>
      <c r="B8" s="37"/>
    </row>
    <row r="9" spans="1:15">
      <c r="A9" t="s">
        <v>141</v>
      </c>
      <c r="B9" s="37"/>
    </row>
    <row r="10" spans="1:15">
      <c r="A10" t="s">
        <v>142</v>
      </c>
      <c r="B10" s="37"/>
    </row>
    <row r="11" spans="1:15">
      <c r="A11" t="s">
        <v>143</v>
      </c>
      <c r="B11" s="37"/>
    </row>
    <row r="12" spans="1:15">
      <c r="B12" s="37"/>
    </row>
    <row r="13" spans="1:15">
      <c r="B13" s="37"/>
    </row>
    <row r="14" spans="1:15">
      <c r="B14" s="37"/>
    </row>
    <row r="16" spans="1:15">
      <c r="A16" s="5" t="s">
        <v>144</v>
      </c>
      <c r="B16" s="5" t="s">
        <v>145</v>
      </c>
      <c r="C16" s="5" t="s">
        <v>146</v>
      </c>
      <c r="D16" s="5" t="s">
        <v>147</v>
      </c>
      <c r="E16" s="5" t="s">
        <v>148</v>
      </c>
      <c r="F16" s="5" t="s">
        <v>149</v>
      </c>
      <c r="G16" s="5" t="s">
        <v>150</v>
      </c>
      <c r="H16" s="5" t="s">
        <v>151</v>
      </c>
      <c r="I16" s="5" t="s">
        <v>152</v>
      </c>
      <c r="J16" s="5" t="s">
        <v>153</v>
      </c>
      <c r="N16" s="23" t="s">
        <v>154</v>
      </c>
      <c r="O16" s="23" t="s">
        <v>151</v>
      </c>
    </row>
    <row r="17" spans="1:15">
      <c r="A17" s="34">
        <v>15</v>
      </c>
      <c r="B17" s="36">
        <f t="shared" ref="B17:B24" si="0">(A17-$B$2)*$B$3</f>
        <v>11.599999999999966</v>
      </c>
      <c r="C17" s="36">
        <f>A17*0.86</f>
        <v>12.9</v>
      </c>
      <c r="E17" s="36">
        <f t="shared" ref="E17:E24" si="1">MIN(B17+C17+D17,200)</f>
        <v>24.499999999999964</v>
      </c>
      <c r="F17" s="36"/>
      <c r="G17" s="34">
        <v>0</v>
      </c>
      <c r="H17" s="34">
        <f>$B$2*$B$3*0.25</f>
        <v>147.10000000000002</v>
      </c>
      <c r="I17" s="36"/>
      <c r="J17" s="36">
        <f>MIN(G17+H17+I17,E17)</f>
        <v>24.499999999999964</v>
      </c>
      <c r="N17" s="22">
        <v>36</v>
      </c>
      <c r="O17" s="38">
        <f>$B$2*N17*$B$4</f>
        <v>132.39000000000001</v>
      </c>
    </row>
    <row r="18" spans="1:15">
      <c r="A18" s="34">
        <v>15.5</v>
      </c>
      <c r="B18" s="36">
        <f t="shared" si="0"/>
        <v>31.599999999999966</v>
      </c>
      <c r="C18" s="36">
        <f t="shared" ref="C18:C25" si="2">A18*0.86</f>
        <v>13.33</v>
      </c>
      <c r="E18" s="36">
        <f t="shared" si="1"/>
        <v>44.929999999999964</v>
      </c>
      <c r="F18" s="36"/>
      <c r="G18" s="34">
        <v>0</v>
      </c>
      <c r="H18" s="34">
        <f t="shared" ref="H18:H24" si="3">$B$2*$B$3*0.25</f>
        <v>147.10000000000002</v>
      </c>
      <c r="I18" s="36"/>
      <c r="J18" s="36">
        <f t="shared" ref="J18:J25" si="4">MIN(G18+H18+I18,E18)</f>
        <v>44.929999999999964</v>
      </c>
      <c r="N18" s="22">
        <v>37.5</v>
      </c>
      <c r="O18" s="38">
        <f>$B$2*N18*$B$4</f>
        <v>137.90625</v>
      </c>
    </row>
    <row r="19" spans="1:15">
      <c r="A19" s="34">
        <v>16</v>
      </c>
      <c r="B19" s="36">
        <f t="shared" si="0"/>
        <v>51.599999999999966</v>
      </c>
      <c r="C19" s="36">
        <f t="shared" si="2"/>
        <v>13.76</v>
      </c>
      <c r="E19" s="36">
        <f t="shared" si="1"/>
        <v>65.359999999999971</v>
      </c>
      <c r="F19" s="36"/>
      <c r="G19" s="34">
        <v>0</v>
      </c>
      <c r="H19" s="34">
        <f t="shared" si="3"/>
        <v>147.10000000000002</v>
      </c>
      <c r="I19" s="36"/>
      <c r="J19" s="36">
        <f t="shared" si="4"/>
        <v>65.359999999999971</v>
      </c>
      <c r="N19" s="22">
        <v>38</v>
      </c>
      <c r="O19" s="38">
        <f>$B$2*N19*$B$4</f>
        <v>139.745</v>
      </c>
    </row>
    <row r="20" spans="1:15">
      <c r="A20" s="34">
        <v>16.5</v>
      </c>
      <c r="B20" s="36">
        <f t="shared" si="0"/>
        <v>71.599999999999966</v>
      </c>
      <c r="C20" s="36">
        <f t="shared" si="2"/>
        <v>14.19</v>
      </c>
      <c r="E20" s="36">
        <f t="shared" si="1"/>
        <v>85.789999999999964</v>
      </c>
      <c r="F20" s="36"/>
      <c r="G20" s="34">
        <v>0</v>
      </c>
      <c r="H20" s="34">
        <f t="shared" si="3"/>
        <v>147.10000000000002</v>
      </c>
      <c r="I20" s="36"/>
      <c r="J20" s="36">
        <f t="shared" si="4"/>
        <v>85.789999999999964</v>
      </c>
      <c r="N20" s="22">
        <v>39</v>
      </c>
      <c r="O20" s="38">
        <f>$B$2*N20*$B$4</f>
        <v>143.42250000000001</v>
      </c>
    </row>
    <row r="21" spans="1:15">
      <c r="A21" s="34">
        <v>17</v>
      </c>
      <c r="B21" s="36">
        <f t="shared" si="0"/>
        <v>91.599999999999966</v>
      </c>
      <c r="C21" s="36">
        <f t="shared" si="2"/>
        <v>14.62</v>
      </c>
      <c r="E21" s="36">
        <f t="shared" si="1"/>
        <v>106.21999999999997</v>
      </c>
      <c r="F21" s="36"/>
      <c r="G21" s="34">
        <v>0</v>
      </c>
      <c r="H21" s="34">
        <f t="shared" si="3"/>
        <v>147.10000000000002</v>
      </c>
      <c r="I21" s="36"/>
      <c r="J21" s="36">
        <f t="shared" si="4"/>
        <v>106.21999999999997</v>
      </c>
      <c r="N21" s="22">
        <v>40</v>
      </c>
      <c r="O21" s="38">
        <f>$B$2*N21*$B$4</f>
        <v>147.10000000000002</v>
      </c>
    </row>
    <row r="22" spans="1:15">
      <c r="A22" s="34">
        <v>18</v>
      </c>
      <c r="B22" s="36">
        <f t="shared" si="0"/>
        <v>131.59999999999997</v>
      </c>
      <c r="C22" s="36">
        <f t="shared" si="2"/>
        <v>15.48</v>
      </c>
      <c r="E22" s="36">
        <f t="shared" si="1"/>
        <v>147.07999999999996</v>
      </c>
      <c r="F22" s="36"/>
      <c r="G22" s="34">
        <v>0</v>
      </c>
      <c r="H22" s="34">
        <f t="shared" si="3"/>
        <v>147.10000000000002</v>
      </c>
      <c r="I22" s="36"/>
      <c r="J22" s="36">
        <f t="shared" si="4"/>
        <v>147.07999999999996</v>
      </c>
    </row>
    <row r="23" spans="1:15">
      <c r="A23" s="34">
        <v>19</v>
      </c>
      <c r="B23" s="36">
        <f t="shared" si="0"/>
        <v>171.59999999999997</v>
      </c>
      <c r="C23" s="36">
        <f t="shared" si="2"/>
        <v>16.34</v>
      </c>
      <c r="E23" s="36">
        <f t="shared" si="1"/>
        <v>187.93999999999997</v>
      </c>
      <c r="F23" s="36"/>
      <c r="G23" s="34">
        <v>0</v>
      </c>
      <c r="H23" s="34">
        <f t="shared" si="3"/>
        <v>147.10000000000002</v>
      </c>
      <c r="I23" s="36">
        <f>E23-H23</f>
        <v>40.839999999999947</v>
      </c>
      <c r="J23" s="36">
        <f t="shared" si="4"/>
        <v>187.93999999999997</v>
      </c>
    </row>
    <row r="24" spans="1:15">
      <c r="A24" s="34">
        <v>19.3</v>
      </c>
      <c r="B24" s="36">
        <f t="shared" si="0"/>
        <v>183.6</v>
      </c>
      <c r="C24" s="36">
        <f t="shared" si="2"/>
        <v>16.597999999999999</v>
      </c>
      <c r="E24" s="36">
        <f t="shared" si="1"/>
        <v>200</v>
      </c>
      <c r="F24" s="36"/>
      <c r="G24" s="34">
        <v>0</v>
      </c>
      <c r="H24" s="34">
        <f t="shared" si="3"/>
        <v>147.10000000000002</v>
      </c>
      <c r="I24" s="36">
        <f>E24-H24</f>
        <v>52.899999999999977</v>
      </c>
      <c r="J24" s="36">
        <f>MIN(G24+H24+I24,E24)</f>
        <v>200</v>
      </c>
    </row>
    <row r="25" spans="1:15">
      <c r="A25" s="34">
        <v>20</v>
      </c>
      <c r="B25" s="36">
        <f>MAX((B2-A25)*40,200)</f>
        <v>200</v>
      </c>
      <c r="C25" s="36">
        <f t="shared" si="2"/>
        <v>17.2</v>
      </c>
      <c r="E25" s="36">
        <f>MIN(B25+C25+D25,200)</f>
        <v>200</v>
      </c>
      <c r="F25" s="36"/>
      <c r="G25" s="34">
        <v>0</v>
      </c>
      <c r="H25" s="34">
        <f>$B$2*$B$3*0.25</f>
        <v>147.10000000000002</v>
      </c>
      <c r="I25" s="36">
        <v>60</v>
      </c>
      <c r="J25" s="36">
        <f t="shared" si="4"/>
        <v>200</v>
      </c>
    </row>
    <row r="26" spans="1:15">
      <c r="A26" s="35"/>
      <c r="E26" s="36"/>
    </row>
    <row r="27" spans="1:15">
      <c r="A27" s="3" t="s">
        <v>155</v>
      </c>
    </row>
    <row r="28" spans="1:15">
      <c r="A28" t="s">
        <v>156</v>
      </c>
    </row>
    <row r="30" spans="1:15">
      <c r="A30" s="5"/>
    </row>
    <row r="31" spans="1:15">
      <c r="A31" s="5" t="s">
        <v>157</v>
      </c>
      <c r="B31" s="5" t="s">
        <v>158</v>
      </c>
    </row>
    <row r="32" spans="1:15">
      <c r="A32" t="s">
        <v>159</v>
      </c>
      <c r="B32" s="34">
        <v>96.5</v>
      </c>
    </row>
    <row r="33" spans="1:10">
      <c r="A33" t="s">
        <v>160</v>
      </c>
      <c r="B33" s="34">
        <v>75</v>
      </c>
    </row>
    <row r="34" spans="1:10">
      <c r="A34" t="s">
        <v>161</v>
      </c>
      <c r="B34" s="34">
        <v>77.5</v>
      </c>
    </row>
    <row r="35" spans="1:10">
      <c r="A35" t="s">
        <v>162</v>
      </c>
      <c r="B35" s="34">
        <v>0</v>
      </c>
      <c r="C35" t="s">
        <v>163</v>
      </c>
    </row>
    <row r="36" spans="1:10">
      <c r="A36" t="s">
        <v>164</v>
      </c>
      <c r="B36" s="34">
        <v>163</v>
      </c>
      <c r="C36" t="s">
        <v>165</v>
      </c>
    </row>
    <row r="37" spans="1:10">
      <c r="A37" t="s">
        <v>166</v>
      </c>
      <c r="B37" s="34">
        <v>84.5</v>
      </c>
      <c r="C37" t="s">
        <v>167</v>
      </c>
    </row>
    <row r="38" spans="1:10">
      <c r="A38" t="s">
        <v>168</v>
      </c>
      <c r="B38" s="34">
        <v>79</v>
      </c>
      <c r="C38" t="s">
        <v>169</v>
      </c>
    </row>
    <row r="39" spans="1:10">
      <c r="A39" t="s">
        <v>170</v>
      </c>
      <c r="B39" s="34">
        <v>82</v>
      </c>
      <c r="C39" t="s">
        <v>171</v>
      </c>
    </row>
    <row r="40" spans="1:10">
      <c r="A40" t="s">
        <v>172</v>
      </c>
      <c r="B40" s="34">
        <v>84.5</v>
      </c>
      <c r="C40" t="s">
        <v>173</v>
      </c>
    </row>
    <row r="41" spans="1:10">
      <c r="A41" t="s">
        <v>174</v>
      </c>
      <c r="B41" s="34">
        <v>65</v>
      </c>
    </row>
    <row r="42" spans="1:10">
      <c r="A42" t="s">
        <v>175</v>
      </c>
      <c r="B42" s="34">
        <v>80</v>
      </c>
      <c r="H42" s="37"/>
      <c r="I42" s="36"/>
      <c r="J42" s="36"/>
    </row>
    <row r="43" spans="1:10">
      <c r="A43" t="s">
        <v>176</v>
      </c>
      <c r="B43" s="34">
        <v>76.5</v>
      </c>
      <c r="C43" t="s">
        <v>177</v>
      </c>
      <c r="I43" s="34"/>
    </row>
    <row r="44" spans="1:10">
      <c r="A44" t="s">
        <v>178</v>
      </c>
      <c r="B44" s="34">
        <v>95</v>
      </c>
      <c r="C44" t="s">
        <v>179</v>
      </c>
      <c r="I44" s="36"/>
    </row>
    <row r="45" spans="1:10">
      <c r="A45" t="s">
        <v>180</v>
      </c>
      <c r="B45" s="34">
        <v>72.5</v>
      </c>
      <c r="C45" t="s">
        <v>181</v>
      </c>
    </row>
    <row r="46" spans="1:10">
      <c r="A46" t="s">
        <v>182</v>
      </c>
      <c r="B46" s="34">
        <v>75</v>
      </c>
      <c r="C46" t="s">
        <v>183</v>
      </c>
    </row>
    <row r="47" spans="1:10">
      <c r="A47" t="s">
        <v>184</v>
      </c>
      <c r="B47" s="34">
        <v>76</v>
      </c>
      <c r="C47" t="s">
        <v>185</v>
      </c>
    </row>
    <row r="48" spans="1:10">
      <c r="A48" t="s">
        <v>186</v>
      </c>
      <c r="B48" s="34">
        <v>72.8</v>
      </c>
      <c r="C48" t="s">
        <v>187</v>
      </c>
    </row>
    <row r="49" spans="1:13">
      <c r="A49" t="s">
        <v>188</v>
      </c>
      <c r="B49" s="34">
        <v>93.5</v>
      </c>
      <c r="C49" t="s">
        <v>189</v>
      </c>
    </row>
    <row r="50" spans="1:13">
      <c r="A50" t="s">
        <v>190</v>
      </c>
      <c r="B50" s="34">
        <v>53.5</v>
      </c>
      <c r="C50" t="s">
        <v>191</v>
      </c>
    </row>
    <row r="52" spans="1:13">
      <c r="G52" t="s">
        <v>192</v>
      </c>
      <c r="H52" s="39">
        <v>0.35699999999999998</v>
      </c>
    </row>
    <row r="55" spans="1:13">
      <c r="F55" t="s">
        <v>193</v>
      </c>
    </row>
    <row r="56" spans="1:13">
      <c r="A56" t="s">
        <v>194</v>
      </c>
      <c r="G56" t="s">
        <v>195</v>
      </c>
      <c r="H56" s="39">
        <v>7.4999999999999997E-2</v>
      </c>
      <c r="J56">
        <v>1.0119</v>
      </c>
    </row>
    <row r="57" spans="1:13">
      <c r="A57" s="5" t="s">
        <v>144</v>
      </c>
      <c r="B57" s="5" t="s">
        <v>145</v>
      </c>
      <c r="C57" s="5" t="s">
        <v>146</v>
      </c>
      <c r="D57" s="5" t="s">
        <v>147</v>
      </c>
      <c r="E57" s="5" t="s">
        <v>148</v>
      </c>
      <c r="F57" s="5" t="s">
        <v>196</v>
      </c>
      <c r="G57" s="5" t="s">
        <v>197</v>
      </c>
      <c r="H57" s="5" t="s">
        <v>198</v>
      </c>
      <c r="I57" s="5" t="s">
        <v>199</v>
      </c>
      <c r="J57" s="5">
        <v>2025</v>
      </c>
      <c r="K57" s="5" t="s">
        <v>200</v>
      </c>
      <c r="L57" s="5" t="s">
        <v>201</v>
      </c>
    </row>
    <row r="58" spans="1:13">
      <c r="A58" s="34">
        <v>15</v>
      </c>
      <c r="B58" s="36">
        <f>(A58-$B$2)*$B$3</f>
        <v>11.599999999999966</v>
      </c>
      <c r="C58" s="36">
        <f t="shared" ref="C58:C63" si="5">A58*0.86</f>
        <v>12.9</v>
      </c>
      <c r="E58" s="36">
        <f t="shared" ref="E58:E63" si="6">MIN(B58+C58+D58,200)</f>
        <v>24.499999999999964</v>
      </c>
      <c r="F58" s="36"/>
      <c r="G58" s="36">
        <f>572.47-H58</f>
        <v>552.47</v>
      </c>
      <c r="H58" s="40">
        <v>20</v>
      </c>
      <c r="J58" s="36">
        <f>25.2+0.93</f>
        <v>26.13</v>
      </c>
      <c r="K58" s="34">
        <f>(25.58+0.61)*J56</f>
        <v>26.501660999999999</v>
      </c>
      <c r="L58" s="36">
        <f>K58-J58</f>
        <v>0.37166099999999958</v>
      </c>
    </row>
    <row r="59" spans="1:13">
      <c r="A59" s="34">
        <v>16</v>
      </c>
      <c r="B59" s="36">
        <f>(A59-$B$2)*$B$3</f>
        <v>51.599999999999966</v>
      </c>
      <c r="C59" s="36">
        <f t="shared" si="5"/>
        <v>13.76</v>
      </c>
      <c r="E59" s="36">
        <f t="shared" si="6"/>
        <v>65.359999999999971</v>
      </c>
      <c r="F59" s="36">
        <v>627.98</v>
      </c>
      <c r="G59" s="36">
        <v>623.13</v>
      </c>
      <c r="H59" s="36" t="s">
        <v>202</v>
      </c>
      <c r="I59" s="36">
        <f>G59-F59</f>
        <v>-4.8500000000000227</v>
      </c>
      <c r="J59" s="36">
        <f>25.93+1.93</f>
        <v>27.86</v>
      </c>
      <c r="K59" s="36">
        <f>(26.22+1.63)*J56</f>
        <v>28.181414999999998</v>
      </c>
      <c r="L59" s="36">
        <f>K59-J59</f>
        <v>0.32141499999999823</v>
      </c>
      <c r="M59" s="41">
        <f>(575.65+187.82)*0.079</f>
        <v>60.314130000000006</v>
      </c>
    </row>
    <row r="60" spans="1:13">
      <c r="A60" s="34">
        <v>17</v>
      </c>
      <c r="B60" s="36">
        <f>(A60-$B$2)*$B$3</f>
        <v>91.599999999999966</v>
      </c>
      <c r="C60" s="36">
        <f t="shared" si="5"/>
        <v>14.62</v>
      </c>
      <c r="E60" s="36">
        <f t="shared" si="6"/>
        <v>106.21999999999997</v>
      </c>
      <c r="F60" s="36"/>
      <c r="G60" s="36"/>
      <c r="H60" s="36"/>
      <c r="I60" s="36"/>
      <c r="J60" s="36"/>
      <c r="K60" s="36"/>
    </row>
    <row r="61" spans="1:13">
      <c r="A61" s="34">
        <v>18</v>
      </c>
      <c r="B61" s="36">
        <f>(A61-$B$2)*$B$3</f>
        <v>131.59999999999997</v>
      </c>
      <c r="C61" s="36">
        <f t="shared" si="5"/>
        <v>15.48</v>
      </c>
      <c r="E61" s="36">
        <f t="shared" si="6"/>
        <v>147.07999999999996</v>
      </c>
      <c r="F61" s="36"/>
      <c r="G61" s="36"/>
      <c r="H61" s="36"/>
      <c r="I61" s="36"/>
      <c r="J61" s="36"/>
      <c r="K61" s="36"/>
    </row>
    <row r="62" spans="1:13">
      <c r="A62" s="34">
        <v>19</v>
      </c>
      <c r="B62" s="36">
        <f>(A62-$B$2)*$B$3</f>
        <v>171.59999999999997</v>
      </c>
      <c r="C62" s="36">
        <f t="shared" si="5"/>
        <v>16.34</v>
      </c>
      <c r="E62" s="36">
        <f t="shared" si="6"/>
        <v>187.93999999999997</v>
      </c>
      <c r="F62" s="36"/>
      <c r="G62" s="36"/>
      <c r="H62" s="36"/>
      <c r="I62" s="36"/>
      <c r="J62" s="36"/>
      <c r="K62" s="36"/>
    </row>
    <row r="63" spans="1:13">
      <c r="A63" s="34">
        <v>20</v>
      </c>
      <c r="B63" s="36">
        <f>MAX((B53-A63)*40,200)</f>
        <v>200</v>
      </c>
      <c r="C63" s="36">
        <f t="shared" si="5"/>
        <v>17.2</v>
      </c>
      <c r="E63" s="36">
        <f t="shared" si="6"/>
        <v>200</v>
      </c>
      <c r="F63" s="36"/>
      <c r="G63" s="36"/>
      <c r="H63" s="36"/>
      <c r="I63" s="36"/>
      <c r="J63" s="36"/>
      <c r="K63" s="36"/>
    </row>
    <row r="64" spans="1:13">
      <c r="F64" s="36"/>
      <c r="G64" s="36"/>
      <c r="H64" s="36"/>
      <c r="I64" s="36"/>
      <c r="J64" s="36"/>
      <c r="K64" s="36"/>
    </row>
    <row r="69" spans="5:5">
      <c r="E69" s="3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58B62-DD8D-432C-B0B2-99584620D3DD}">
  <sheetPr codeName="Blad7"/>
  <dimension ref="A1:T186"/>
  <sheetViews>
    <sheetView topLeftCell="D19" workbookViewId="0">
      <selection activeCell="E117" sqref="E117"/>
    </sheetView>
  </sheetViews>
  <sheetFormatPr defaultColWidth="8.6640625" defaultRowHeight="14.4"/>
  <cols>
    <col min="1" max="1" width="45.33203125" customWidth="1"/>
    <col min="2" max="2" width="14.33203125" customWidth="1"/>
    <col min="3" max="3" width="31.33203125" customWidth="1"/>
    <col min="4" max="4" width="29.6640625" customWidth="1"/>
    <col min="5" max="5" width="26.33203125" bestFit="1" customWidth="1"/>
    <col min="6" max="6" width="22" customWidth="1"/>
    <col min="7" max="7" width="15.33203125" customWidth="1"/>
    <col min="8" max="8" width="9.6640625" bestFit="1" customWidth="1"/>
    <col min="10" max="10" width="18.33203125" bestFit="1" customWidth="1"/>
    <col min="11" max="11" width="10.44140625" customWidth="1"/>
    <col min="12" max="12" width="18.33203125" customWidth="1"/>
    <col min="13" max="13" width="21.5546875" bestFit="1" customWidth="1"/>
    <col min="14" max="14" width="18.33203125" customWidth="1"/>
    <col min="15" max="15" width="10.44140625" customWidth="1"/>
    <col min="16" max="16" width="7.109375" customWidth="1"/>
    <col min="17" max="17" width="10.88671875" customWidth="1"/>
    <col min="18" max="18" width="9.44140625" customWidth="1"/>
    <col min="19" max="19" width="11.33203125" bestFit="1" customWidth="1"/>
    <col min="20" max="20" width="12.33203125" customWidth="1"/>
    <col min="21" max="21" width="13.33203125" customWidth="1"/>
    <col min="22" max="22" width="12.33203125" customWidth="1"/>
  </cols>
  <sheetData>
    <row r="1" spans="1:6">
      <c r="A1" s="5" t="s">
        <v>203</v>
      </c>
      <c r="B1" s="23">
        <v>2025</v>
      </c>
      <c r="C1" s="5" t="s">
        <v>204</v>
      </c>
      <c r="D1" s="23">
        <v>2026</v>
      </c>
      <c r="E1" s="5" t="s">
        <v>205</v>
      </c>
      <c r="F1" s="5"/>
    </row>
    <row r="2" spans="1:6">
      <c r="A2" t="s">
        <v>206</v>
      </c>
      <c r="B2">
        <v>1.7062999999999999</v>
      </c>
      <c r="C2" s="2">
        <v>1.6852323490814161</v>
      </c>
      <c r="D2" s="2">
        <v>1.6800987141216002</v>
      </c>
      <c r="E2" s="3">
        <f>(D2-B2)/B2</f>
        <v>-1.5355615002285508E-2</v>
      </c>
      <c r="F2" s="3"/>
    </row>
    <row r="3" spans="1:6">
      <c r="A3" t="s">
        <v>2</v>
      </c>
      <c r="B3">
        <v>1.7627999999999999</v>
      </c>
      <c r="C3" s="2">
        <v>1.7888490080054245</v>
      </c>
      <c r="D3" s="2">
        <v>1.7837475242356799</v>
      </c>
      <c r="E3" s="3">
        <f>(D3-B3)/B3</f>
        <v>1.188309747882915E-2</v>
      </c>
      <c r="F3" s="3"/>
    </row>
    <row r="4" spans="1:6">
      <c r="A4" t="s">
        <v>25</v>
      </c>
      <c r="B4" s="2">
        <v>1.7795940411674809</v>
      </c>
      <c r="C4" s="2">
        <v>1.8106499168653882</v>
      </c>
      <c r="D4" s="2">
        <v>1.8051342289436161</v>
      </c>
      <c r="E4" s="3">
        <f>(D4-B4)/B4</f>
        <v>1.4351693243128572E-2</v>
      </c>
      <c r="F4" s="3"/>
    </row>
    <row r="5" spans="1:6">
      <c r="A5" t="s">
        <v>207</v>
      </c>
      <c r="B5" s="2">
        <v>1.7959788183578942</v>
      </c>
      <c r="C5" s="2">
        <v>1.8300437201006192</v>
      </c>
      <c r="D5" s="2">
        <v>1.8244689538527359</v>
      </c>
      <c r="E5" s="3">
        <f>(D5-B5)/B5</f>
        <v>1.5863291484078248E-2</v>
      </c>
      <c r="F5" s="3"/>
    </row>
    <row r="6" spans="1:6">
      <c r="A6" t="s">
        <v>24</v>
      </c>
      <c r="B6" s="2">
        <v>1.7419673393981912</v>
      </c>
      <c r="C6" s="2">
        <v>1.7836497632207096</v>
      </c>
      <c r="D6" s="2">
        <v>1.7782163244515519</v>
      </c>
      <c r="E6" s="3">
        <f>(D6-B6)/B6</f>
        <v>2.0809221983394872E-2</v>
      </c>
      <c r="F6" s="3"/>
    </row>
    <row r="7" spans="1:6">
      <c r="E7" s="1"/>
    </row>
    <row r="9" spans="1:6">
      <c r="A9" s="5" t="s">
        <v>203</v>
      </c>
      <c r="B9" s="5" t="s">
        <v>136</v>
      </c>
      <c r="C9" s="5" t="s">
        <v>208</v>
      </c>
      <c r="D9" s="5" t="s">
        <v>6</v>
      </c>
    </row>
    <row r="10" spans="1:6">
      <c r="A10" t="s">
        <v>206</v>
      </c>
      <c r="B10" s="6">
        <v>14.71</v>
      </c>
      <c r="C10">
        <v>1.6735</v>
      </c>
      <c r="D10" s="7">
        <f>B10*C10</f>
        <v>24.617185000000003</v>
      </c>
    </row>
    <row r="11" spans="1:6">
      <c r="A11" t="s">
        <v>2</v>
      </c>
      <c r="B11" s="6">
        <v>14.71</v>
      </c>
      <c r="C11">
        <v>1.7828999999999999</v>
      </c>
      <c r="D11" s="7">
        <f>B11*C11</f>
        <v>26.226459000000002</v>
      </c>
    </row>
    <row r="12" spans="1:6">
      <c r="A12" t="s">
        <v>25</v>
      </c>
      <c r="B12" s="6">
        <v>14.71</v>
      </c>
      <c r="C12" s="2">
        <v>1.8025508505283552</v>
      </c>
      <c r="D12" s="7">
        <f>B12*C12</f>
        <v>26.515523011272105</v>
      </c>
    </row>
    <row r="13" spans="1:6">
      <c r="A13" t="s">
        <v>207</v>
      </c>
      <c r="B13" s="6">
        <v>14.71</v>
      </c>
      <c r="C13" s="2">
        <v>1.8302858939976563</v>
      </c>
      <c r="D13" s="7">
        <f>B13*C13</f>
        <v>26.923505500705527</v>
      </c>
    </row>
    <row r="14" spans="1:6">
      <c r="A14" t="s">
        <v>24</v>
      </c>
      <c r="B14" s="6">
        <v>14.71</v>
      </c>
      <c r="C14" s="2">
        <v>1.783913781520867</v>
      </c>
      <c r="D14" s="7">
        <f>B14*C14</f>
        <v>26.241371726171955</v>
      </c>
    </row>
    <row r="16" spans="1:6">
      <c r="A16" s="5" t="s">
        <v>2</v>
      </c>
      <c r="D16" s="5" t="s">
        <v>209</v>
      </c>
    </row>
    <row r="17" spans="1:20">
      <c r="A17" s="23" t="s">
        <v>210</v>
      </c>
      <c r="B17" s="23" t="s">
        <v>211</v>
      </c>
      <c r="C17" s="5" t="s">
        <v>212</v>
      </c>
      <c r="D17" s="5" t="s">
        <v>45</v>
      </c>
      <c r="E17" s="5">
        <v>2025</v>
      </c>
      <c r="F17" s="5">
        <v>2026</v>
      </c>
      <c r="G17" s="5" t="s">
        <v>314</v>
      </c>
      <c r="H17" s="5" t="s">
        <v>315</v>
      </c>
    </row>
    <row r="18" spans="1:20">
      <c r="A18" s="24">
        <v>0.7</v>
      </c>
      <c r="B18" s="22">
        <v>3.6</v>
      </c>
      <c r="C18" t="s">
        <v>213</v>
      </c>
      <c r="D18" s="24">
        <v>0.7</v>
      </c>
      <c r="E18">
        <v>5.0999999999999996</v>
      </c>
      <c r="F18">
        <v>5.0999999999999996</v>
      </c>
      <c r="G18">
        <f>B18+0.6</f>
        <v>4.2</v>
      </c>
      <c r="H18">
        <f>F18+0.6</f>
        <v>5.6999999999999993</v>
      </c>
      <c r="I18" t="s">
        <v>316</v>
      </c>
      <c r="Q18">
        <v>100</v>
      </c>
    </row>
    <row r="19" spans="1:20">
      <c r="A19" s="24">
        <v>0.8</v>
      </c>
      <c r="B19" s="22">
        <v>3.8</v>
      </c>
      <c r="C19" t="s">
        <v>202</v>
      </c>
      <c r="D19" s="24">
        <v>0.8</v>
      </c>
      <c r="E19">
        <v>5.0999999999999996</v>
      </c>
      <c r="F19">
        <v>5.3</v>
      </c>
      <c r="G19">
        <f>B19+0.6</f>
        <v>4.3999999999999995</v>
      </c>
      <c r="H19">
        <f>F19+0.6</f>
        <v>5.8999999999999995</v>
      </c>
      <c r="Q19">
        <v>-100</v>
      </c>
    </row>
    <row r="20" spans="1:20">
      <c r="A20" s="24">
        <v>0.9</v>
      </c>
      <c r="B20" s="22">
        <v>4</v>
      </c>
      <c r="C20" t="s">
        <v>93</v>
      </c>
      <c r="D20" s="24">
        <v>0.9</v>
      </c>
      <c r="E20">
        <v>5.0999999999999996</v>
      </c>
      <c r="F20">
        <v>5.5</v>
      </c>
      <c r="G20">
        <f>B20+0.6</f>
        <v>4.5999999999999996</v>
      </c>
      <c r="H20">
        <f>F20+0.6</f>
        <v>6.1</v>
      </c>
      <c r="Q20">
        <v>-100</v>
      </c>
    </row>
    <row r="21" spans="1:20">
      <c r="A21" s="24">
        <v>1</v>
      </c>
      <c r="B21" s="22">
        <v>4.4000000000000004</v>
      </c>
      <c r="C21" t="s">
        <v>214</v>
      </c>
      <c r="D21" s="24">
        <v>1</v>
      </c>
      <c r="E21">
        <v>5.0999999999999996</v>
      </c>
      <c r="F21">
        <v>5.9</v>
      </c>
      <c r="G21">
        <f>B21+0.6</f>
        <v>5</v>
      </c>
      <c r="H21">
        <f>F21+0.6</f>
        <v>6.5</v>
      </c>
      <c r="Q21">
        <v>100</v>
      </c>
    </row>
    <row r="22" spans="1:20">
      <c r="H22" s="50"/>
      <c r="I22" s="57" t="s">
        <v>215</v>
      </c>
    </row>
    <row r="23" spans="1:20">
      <c r="E23" s="53"/>
    </row>
    <row r="24" spans="1:20">
      <c r="A24" t="s">
        <v>31</v>
      </c>
      <c r="C24">
        <v>261</v>
      </c>
      <c r="N24" t="s">
        <v>216</v>
      </c>
    </row>
    <row r="25" spans="1:20">
      <c r="A25" s="5" t="s">
        <v>217</v>
      </c>
      <c r="B25" s="5" t="s">
        <v>39</v>
      </c>
      <c r="C25" s="5" t="s">
        <v>40</v>
      </c>
      <c r="D25" s="5" t="s">
        <v>32</v>
      </c>
      <c r="E25" s="5" t="s">
        <v>41</v>
      </c>
      <c r="F25" s="5" t="s">
        <v>33</v>
      </c>
      <c r="G25" s="5" t="s">
        <v>42</v>
      </c>
      <c r="H25" s="5" t="s">
        <v>43</v>
      </c>
      <c r="I25" s="5" t="s">
        <v>44</v>
      </c>
      <c r="J25" s="5" t="s">
        <v>40</v>
      </c>
      <c r="K25" s="5" t="s">
        <v>45</v>
      </c>
      <c r="L25" s="5" t="s">
        <v>218</v>
      </c>
      <c r="M25" s="5" t="s">
        <v>219</v>
      </c>
      <c r="N25" s="5" t="s">
        <v>220</v>
      </c>
      <c r="O25" s="5" t="s">
        <v>221</v>
      </c>
      <c r="P25" s="5"/>
      <c r="Q25" s="5"/>
      <c r="R25" s="5"/>
    </row>
    <row r="26" spans="1:20">
      <c r="A26" s="41" t="s">
        <v>54</v>
      </c>
      <c r="B26">
        <v>7</v>
      </c>
      <c r="C26">
        <f>C24</f>
        <v>261</v>
      </c>
      <c r="D26">
        <v>25</v>
      </c>
      <c r="E26">
        <v>0</v>
      </c>
      <c r="F26">
        <v>6</v>
      </c>
      <c r="G26" s="3">
        <f t="shared" ref="G26:G38" si="0">D26/(C26-D26-F26-E26)</f>
        <v>0.10869565217391304</v>
      </c>
      <c r="H26" s="3">
        <f t="shared" ref="H26:H50" si="1">E26/(C26-D26-F26-E26)</f>
        <v>0</v>
      </c>
      <c r="I26" s="51">
        <f t="shared" ref="I26:I45" si="2">ROUND((F26/(C26-D26-F26-E26)),4)</f>
        <v>2.6100000000000002E-2</v>
      </c>
      <c r="J26">
        <f t="shared" ref="J26:J35" si="3">C26-D26-F26-E26</f>
        <v>230</v>
      </c>
      <c r="K26" s="3">
        <v>0.04</v>
      </c>
      <c r="L26" s="3">
        <v>0.159</v>
      </c>
      <c r="M26" s="3">
        <f>IF((L26-15.9%)&gt;0,(L26-15.9%),0)</f>
        <v>0</v>
      </c>
      <c r="O26" s="42">
        <v>0.08</v>
      </c>
      <c r="P26" s="49"/>
      <c r="Q26" s="56"/>
      <c r="S26" s="42"/>
      <c r="T26" s="42"/>
    </row>
    <row r="27" spans="1:20">
      <c r="A27" s="41" t="s">
        <v>222</v>
      </c>
      <c r="B27">
        <v>7</v>
      </c>
      <c r="C27">
        <f>C26</f>
        <v>261</v>
      </c>
      <c r="D27">
        <v>25</v>
      </c>
      <c r="E27">
        <v>0</v>
      </c>
      <c r="F27">
        <v>6</v>
      </c>
      <c r="G27" s="3">
        <f>D27/(C27-D27-F27-E27)</f>
        <v>0.10869565217391304</v>
      </c>
      <c r="H27" s="3">
        <f t="shared" si="1"/>
        <v>0</v>
      </c>
      <c r="I27" s="3">
        <f t="shared" si="2"/>
        <v>2.6100000000000002E-2</v>
      </c>
      <c r="J27">
        <f>C27-D27-F27-E27</f>
        <v>230</v>
      </c>
      <c r="K27" s="3">
        <v>0.04</v>
      </c>
      <c r="L27" s="3">
        <v>0.159</v>
      </c>
      <c r="M27" s="3">
        <f t="shared" ref="M27:M91" si="4">IF((L27-15.9%)&gt;0,(L27-15.9%),0)</f>
        <v>0</v>
      </c>
      <c r="O27" s="42">
        <v>0.08</v>
      </c>
      <c r="P27" s="49"/>
      <c r="Q27" s="56"/>
      <c r="S27" s="42"/>
      <c r="T27" s="42"/>
    </row>
    <row r="28" spans="1:20">
      <c r="A28" s="41" t="s">
        <v>55</v>
      </c>
      <c r="B28">
        <v>7</v>
      </c>
      <c r="C28">
        <f>C24</f>
        <v>261</v>
      </c>
      <c r="D28">
        <v>20</v>
      </c>
      <c r="E28">
        <v>0</v>
      </c>
      <c r="F28">
        <v>6</v>
      </c>
      <c r="G28" s="3">
        <f t="shared" si="0"/>
        <v>8.5106382978723402E-2</v>
      </c>
      <c r="H28" s="3">
        <f t="shared" si="1"/>
        <v>0</v>
      </c>
      <c r="I28" s="51">
        <f t="shared" si="2"/>
        <v>2.5499999999999998E-2</v>
      </c>
      <c r="J28">
        <f t="shared" si="3"/>
        <v>235</v>
      </c>
      <c r="K28" s="3">
        <v>0.04</v>
      </c>
      <c r="L28" s="3">
        <v>0.159</v>
      </c>
      <c r="M28" s="3">
        <f t="shared" si="4"/>
        <v>0</v>
      </c>
      <c r="O28" s="42">
        <v>0.08</v>
      </c>
      <c r="P28" s="49"/>
      <c r="Q28" s="56"/>
      <c r="S28" s="42"/>
      <c r="T28" s="42"/>
    </row>
    <row r="29" spans="1:20">
      <c r="A29" s="41" t="s">
        <v>1</v>
      </c>
      <c r="B29">
        <v>7</v>
      </c>
      <c r="C29">
        <v>261</v>
      </c>
      <c r="D29">
        <v>25</v>
      </c>
      <c r="E29">
        <v>13</v>
      </c>
      <c r="F29">
        <v>6</v>
      </c>
      <c r="G29" s="3">
        <f>D29/(C29-D29-F29-E29)</f>
        <v>0.1152073732718894</v>
      </c>
      <c r="H29" s="3">
        <f t="shared" si="1"/>
        <v>5.9907834101382486E-2</v>
      </c>
      <c r="I29" s="51">
        <f t="shared" si="2"/>
        <v>2.76E-2</v>
      </c>
      <c r="J29">
        <f t="shared" si="3"/>
        <v>217</v>
      </c>
      <c r="K29" s="3">
        <v>4.4000000000000004E-2</v>
      </c>
      <c r="L29" s="3">
        <v>0.17699999999999999</v>
      </c>
      <c r="M29" s="3">
        <f t="shared" si="4"/>
        <v>1.7999999999999988E-2</v>
      </c>
      <c r="N29">
        <v>0.60699999999999998</v>
      </c>
      <c r="O29" s="42">
        <v>0.08</v>
      </c>
      <c r="P29" s="49"/>
      <c r="Q29" s="56"/>
      <c r="S29" s="42"/>
      <c r="T29" s="42"/>
    </row>
    <row r="30" spans="1:20">
      <c r="A30" s="41" t="s">
        <v>223</v>
      </c>
      <c r="B30">
        <v>7</v>
      </c>
      <c r="C30">
        <f>C24</f>
        <v>261</v>
      </c>
      <c r="D30">
        <v>25</v>
      </c>
      <c r="E30">
        <v>0</v>
      </c>
      <c r="F30">
        <v>6</v>
      </c>
      <c r="G30" s="3">
        <f t="shared" si="0"/>
        <v>0.10869565217391304</v>
      </c>
      <c r="H30" s="3">
        <f t="shared" si="1"/>
        <v>0</v>
      </c>
      <c r="I30" s="51">
        <f t="shared" si="2"/>
        <v>2.6100000000000002E-2</v>
      </c>
      <c r="J30">
        <f t="shared" si="3"/>
        <v>230</v>
      </c>
      <c r="K30" s="3">
        <v>4.4000000000000004E-2</v>
      </c>
      <c r="L30" s="3">
        <v>0.17699999999999999</v>
      </c>
      <c r="M30" s="3">
        <f t="shared" si="4"/>
        <v>1.7999999999999988E-2</v>
      </c>
      <c r="N30">
        <v>0.60699999999999998</v>
      </c>
      <c r="O30" s="42">
        <v>0.08</v>
      </c>
      <c r="P30" s="49"/>
      <c r="Q30" s="56"/>
      <c r="S30" s="42"/>
      <c r="T30" s="42"/>
    </row>
    <row r="31" spans="1:20">
      <c r="A31" s="77" t="s">
        <v>224</v>
      </c>
      <c r="B31" s="55">
        <v>7</v>
      </c>
      <c r="C31" s="55">
        <v>261</v>
      </c>
      <c r="D31" s="55">
        <v>25</v>
      </c>
      <c r="E31" s="55">
        <v>0</v>
      </c>
      <c r="F31" s="55">
        <v>6</v>
      </c>
      <c r="G31" s="59">
        <f>D31/(C31-D31-F31-E31)</f>
        <v>0.10869565217391304</v>
      </c>
      <c r="H31" s="59">
        <f t="shared" si="1"/>
        <v>0</v>
      </c>
      <c r="I31" s="59">
        <f t="shared" si="2"/>
        <v>2.6100000000000002E-2</v>
      </c>
      <c r="J31" s="55">
        <f>C31-D31-F31-E31</f>
        <v>230</v>
      </c>
      <c r="K31" s="3">
        <v>4.4000000000000004E-2</v>
      </c>
      <c r="L31" s="3">
        <v>0.1507</v>
      </c>
      <c r="M31" s="3">
        <f t="shared" si="4"/>
        <v>0</v>
      </c>
      <c r="N31">
        <v>0.38500000000000001</v>
      </c>
      <c r="O31" s="3">
        <v>8.3299999999999999E-2</v>
      </c>
      <c r="P31" s="49"/>
      <c r="Q31" s="56"/>
      <c r="S31" s="42"/>
      <c r="T31" s="42"/>
    </row>
    <row r="32" spans="1:20">
      <c r="A32" s="77" t="s">
        <v>56</v>
      </c>
      <c r="B32" s="55">
        <v>7</v>
      </c>
      <c r="C32" s="55">
        <f>C24</f>
        <v>261</v>
      </c>
      <c r="D32" s="60">
        <v>24</v>
      </c>
      <c r="E32" s="55">
        <v>0</v>
      </c>
      <c r="F32" s="55">
        <v>6</v>
      </c>
      <c r="G32" s="54">
        <f t="shared" si="0"/>
        <v>0.1038961038961039</v>
      </c>
      <c r="H32" s="54">
        <f t="shared" si="1"/>
        <v>0</v>
      </c>
      <c r="I32" s="54">
        <f t="shared" si="2"/>
        <v>2.5999999999999999E-2</v>
      </c>
      <c r="J32" s="55">
        <f t="shared" si="3"/>
        <v>231</v>
      </c>
      <c r="K32" s="3">
        <v>4.4000000000000004E-2</v>
      </c>
      <c r="L32" s="3">
        <v>0.1507</v>
      </c>
      <c r="M32" s="3">
        <f t="shared" si="4"/>
        <v>0</v>
      </c>
      <c r="N32">
        <v>0.38500000000000001</v>
      </c>
      <c r="O32" s="42">
        <v>0.08</v>
      </c>
      <c r="P32" s="49"/>
      <c r="Q32" s="56"/>
      <c r="S32" s="42"/>
      <c r="T32" s="42"/>
    </row>
    <row r="33" spans="1:20">
      <c r="A33" s="41" t="s">
        <v>57</v>
      </c>
      <c r="B33">
        <v>7</v>
      </c>
      <c r="C33">
        <f>C24</f>
        <v>261</v>
      </c>
      <c r="D33">
        <v>25</v>
      </c>
      <c r="E33">
        <v>20</v>
      </c>
      <c r="F33">
        <v>6</v>
      </c>
      <c r="G33" s="3">
        <f t="shared" si="0"/>
        <v>0.11904761904761904</v>
      </c>
      <c r="H33" s="3">
        <f t="shared" si="1"/>
        <v>9.5238095238095233E-2</v>
      </c>
      <c r="I33" s="51">
        <f t="shared" si="2"/>
        <v>2.86E-2</v>
      </c>
      <c r="J33">
        <f t="shared" si="3"/>
        <v>210</v>
      </c>
      <c r="K33" s="3">
        <v>4.4000000000000004E-2</v>
      </c>
      <c r="L33" s="58">
        <v>0.16328200000000001</v>
      </c>
      <c r="M33" s="3">
        <f t="shared" si="4"/>
        <v>4.282000000000008E-3</v>
      </c>
      <c r="N33">
        <v>0.4</v>
      </c>
      <c r="O33" s="42">
        <v>0.08</v>
      </c>
      <c r="P33" s="49"/>
      <c r="Q33" s="56"/>
      <c r="S33" s="42"/>
      <c r="T33" s="42"/>
    </row>
    <row r="34" spans="1:20">
      <c r="A34" s="41" t="s">
        <v>225</v>
      </c>
      <c r="B34">
        <v>7</v>
      </c>
      <c r="C34">
        <f>C33</f>
        <v>261</v>
      </c>
      <c r="D34">
        <v>25</v>
      </c>
      <c r="E34">
        <v>0</v>
      </c>
      <c r="F34">
        <v>6</v>
      </c>
      <c r="G34" s="3">
        <f>D34/(C34-D34-F34-E34)</f>
        <v>0.10869565217391304</v>
      </c>
      <c r="H34" s="3">
        <f t="shared" si="1"/>
        <v>0</v>
      </c>
      <c r="I34" s="51">
        <f t="shared" si="2"/>
        <v>2.6100000000000002E-2</v>
      </c>
      <c r="J34">
        <f>C34-D34-F34-E34</f>
        <v>230</v>
      </c>
      <c r="K34" s="3">
        <v>4.4000000000000004E-2</v>
      </c>
      <c r="L34" s="58">
        <v>0.16328200000000001</v>
      </c>
      <c r="M34" s="3">
        <f t="shared" si="4"/>
        <v>4.282000000000008E-3</v>
      </c>
      <c r="N34">
        <v>0.4</v>
      </c>
      <c r="O34" s="42">
        <v>0.08</v>
      </c>
      <c r="P34" s="49"/>
      <c r="Q34" s="56"/>
      <c r="S34" s="42"/>
      <c r="T34" s="42"/>
    </row>
    <row r="35" spans="1:20">
      <c r="A35" s="41" t="s">
        <v>58</v>
      </c>
      <c r="B35">
        <v>7</v>
      </c>
      <c r="C35">
        <f>C33</f>
        <v>261</v>
      </c>
      <c r="D35">
        <v>25</v>
      </c>
      <c r="E35">
        <v>15</v>
      </c>
      <c r="F35">
        <v>6</v>
      </c>
      <c r="G35" s="3">
        <f t="shared" si="0"/>
        <v>0.11627906976744186</v>
      </c>
      <c r="H35" s="3">
        <f t="shared" si="1"/>
        <v>6.9767441860465115E-2</v>
      </c>
      <c r="I35" s="51">
        <f t="shared" si="2"/>
        <v>2.7900000000000001E-2</v>
      </c>
      <c r="J35">
        <f t="shared" si="3"/>
        <v>215</v>
      </c>
      <c r="K35" s="3">
        <v>4.4000000000000004E-2</v>
      </c>
      <c r="L35" s="58">
        <v>0.150698</v>
      </c>
      <c r="M35" s="3">
        <f t="shared" si="4"/>
        <v>0</v>
      </c>
      <c r="N35">
        <v>0.4</v>
      </c>
      <c r="O35" s="42">
        <v>0.08</v>
      </c>
      <c r="P35" s="49"/>
      <c r="Q35" s="56"/>
      <c r="S35" s="42"/>
      <c r="T35" s="42"/>
    </row>
    <row r="36" spans="1:20">
      <c r="A36" s="41" t="s">
        <v>226</v>
      </c>
      <c r="B36">
        <v>7</v>
      </c>
      <c r="C36">
        <f>C34</f>
        <v>261</v>
      </c>
      <c r="D36">
        <v>25</v>
      </c>
      <c r="E36">
        <v>0</v>
      </c>
      <c r="F36">
        <v>6</v>
      </c>
      <c r="G36" s="51">
        <f>D36/(C36-D36-F36-E36)</f>
        <v>0.10869565217391304</v>
      </c>
      <c r="H36" s="51">
        <f t="shared" si="1"/>
        <v>0</v>
      </c>
      <c r="I36" s="51">
        <f t="shared" si="2"/>
        <v>2.6100000000000002E-2</v>
      </c>
      <c r="J36">
        <f>C36-D36-F36-E36</f>
        <v>230</v>
      </c>
      <c r="K36" s="51">
        <v>4.4000000000000004E-2</v>
      </c>
      <c r="L36" s="58">
        <v>0.150698</v>
      </c>
      <c r="M36" s="3">
        <f t="shared" si="4"/>
        <v>0</v>
      </c>
      <c r="N36">
        <v>0.4</v>
      </c>
      <c r="O36" s="61">
        <v>0.08</v>
      </c>
      <c r="P36" s="49"/>
      <c r="Q36" s="56"/>
      <c r="S36" s="61"/>
      <c r="T36" s="61"/>
    </row>
    <row r="37" spans="1:20">
      <c r="A37" s="41" t="s">
        <v>59</v>
      </c>
      <c r="B37">
        <v>7</v>
      </c>
      <c r="C37">
        <f>C24</f>
        <v>261</v>
      </c>
      <c r="D37">
        <v>27</v>
      </c>
      <c r="E37">
        <v>13</v>
      </c>
      <c r="F37">
        <v>6</v>
      </c>
      <c r="G37" s="3">
        <f t="shared" si="0"/>
        <v>0.12558139534883722</v>
      </c>
      <c r="H37" s="3">
        <f t="shared" si="1"/>
        <v>6.0465116279069767E-2</v>
      </c>
      <c r="I37" s="51">
        <f t="shared" si="2"/>
        <v>2.7900000000000001E-2</v>
      </c>
      <c r="J37">
        <f t="shared" ref="J37:J45" si="5">C37-D37-F37-E37</f>
        <v>215</v>
      </c>
      <c r="K37" s="3">
        <v>4.3999999999999997E-2</v>
      </c>
      <c r="L37" s="3">
        <v>0.1709</v>
      </c>
      <c r="M37" s="3">
        <f t="shared" si="4"/>
        <v>1.1899999999999994E-2</v>
      </c>
      <c r="N37">
        <v>0.38300000000000001</v>
      </c>
      <c r="O37" s="42">
        <v>0.08</v>
      </c>
      <c r="P37" s="49"/>
      <c r="Q37" s="56"/>
      <c r="S37" s="42"/>
      <c r="T37" s="42"/>
    </row>
    <row r="38" spans="1:20">
      <c r="A38" s="41" t="s">
        <v>227</v>
      </c>
      <c r="B38">
        <v>7</v>
      </c>
      <c r="C38">
        <f>C24</f>
        <v>261</v>
      </c>
      <c r="D38">
        <v>27</v>
      </c>
      <c r="E38">
        <v>0</v>
      </c>
      <c r="F38">
        <v>6</v>
      </c>
      <c r="G38" s="3">
        <f t="shared" si="0"/>
        <v>0.11842105263157894</v>
      </c>
      <c r="H38" s="3">
        <f t="shared" si="1"/>
        <v>0</v>
      </c>
      <c r="I38" s="51">
        <f t="shared" si="2"/>
        <v>2.63E-2</v>
      </c>
      <c r="J38">
        <f t="shared" si="5"/>
        <v>228</v>
      </c>
      <c r="K38" s="3">
        <v>4.4000000000000004E-2</v>
      </c>
      <c r="L38" s="3">
        <v>0.1709</v>
      </c>
      <c r="M38" s="3">
        <f t="shared" si="4"/>
        <v>1.1899999999999994E-2</v>
      </c>
      <c r="N38">
        <v>0.38300000000000001</v>
      </c>
      <c r="O38" s="42">
        <v>0.08</v>
      </c>
      <c r="P38" s="49"/>
      <c r="Q38" s="56"/>
      <c r="S38" s="42"/>
      <c r="T38" s="42"/>
    </row>
    <row r="39" spans="1:20">
      <c r="A39" t="s">
        <v>228</v>
      </c>
      <c r="B39">
        <v>7</v>
      </c>
      <c r="C39">
        <v>261</v>
      </c>
      <c r="D39">
        <v>25</v>
      </c>
      <c r="E39">
        <v>3.5</v>
      </c>
      <c r="F39">
        <v>6</v>
      </c>
      <c r="G39" s="51">
        <f>D39/(C39-D39-F39-E39)</f>
        <v>0.11037527593818984</v>
      </c>
      <c r="H39" s="51">
        <f t="shared" si="1"/>
        <v>1.5452538631346579E-2</v>
      </c>
      <c r="I39" s="51">
        <f t="shared" si="2"/>
        <v>2.6499999999999999E-2</v>
      </c>
      <c r="J39" s="47">
        <f>C39-D39-F39-E39</f>
        <v>226.5</v>
      </c>
      <c r="K39" s="51">
        <v>4.4000000000000004E-2</v>
      </c>
      <c r="L39" s="51">
        <v>0.19839999999999999</v>
      </c>
      <c r="M39" s="51">
        <f t="shared" si="4"/>
        <v>3.9399999999999991E-2</v>
      </c>
      <c r="N39">
        <v>0.38500000000000001</v>
      </c>
      <c r="O39" s="51">
        <v>8.3299999999999999E-2</v>
      </c>
      <c r="P39" s="49"/>
      <c r="Q39" s="56"/>
      <c r="S39" s="61"/>
      <c r="T39" s="61"/>
    </row>
    <row r="40" spans="1:20">
      <c r="A40" t="s">
        <v>60</v>
      </c>
      <c r="B40">
        <v>7</v>
      </c>
      <c r="C40">
        <f>C24</f>
        <v>261</v>
      </c>
      <c r="D40">
        <v>24</v>
      </c>
      <c r="E40">
        <v>3.5</v>
      </c>
      <c r="F40">
        <v>6</v>
      </c>
      <c r="G40" s="51">
        <f t="shared" ref="G40:G45" si="6">D40/(C40-D40-F40-E40)</f>
        <v>0.10549450549450549</v>
      </c>
      <c r="H40" s="51">
        <f t="shared" si="1"/>
        <v>1.5384615384615385E-2</v>
      </c>
      <c r="I40" s="51">
        <f t="shared" si="2"/>
        <v>2.64E-2</v>
      </c>
      <c r="J40" s="47">
        <f>C40-D40-F40-E40</f>
        <v>227.5</v>
      </c>
      <c r="K40" s="51">
        <v>4.4000000000000004E-2</v>
      </c>
      <c r="L40" s="51">
        <v>0.19839999999999999</v>
      </c>
      <c r="M40" s="51">
        <f t="shared" si="4"/>
        <v>3.9399999999999991E-2</v>
      </c>
      <c r="N40">
        <v>0.38500000000000001</v>
      </c>
      <c r="O40" s="61">
        <v>0.08</v>
      </c>
      <c r="P40" s="49"/>
      <c r="Q40" s="56"/>
      <c r="S40" s="61"/>
      <c r="T40" s="61"/>
    </row>
    <row r="41" spans="1:20">
      <c r="A41" t="s">
        <v>229</v>
      </c>
      <c r="B41">
        <v>7</v>
      </c>
      <c r="C41">
        <f>C24</f>
        <v>261</v>
      </c>
      <c r="D41">
        <v>25</v>
      </c>
      <c r="E41">
        <v>0</v>
      </c>
      <c r="F41">
        <v>6</v>
      </c>
      <c r="G41" s="51">
        <f>D41/(C41-D41-F41-E41)</f>
        <v>0.10869565217391304</v>
      </c>
      <c r="H41" s="51">
        <f t="shared" si="1"/>
        <v>0</v>
      </c>
      <c r="I41" s="51">
        <f t="shared" si="2"/>
        <v>2.6100000000000002E-2</v>
      </c>
      <c r="J41" s="47">
        <f>C41-D41-F41-E41</f>
        <v>230</v>
      </c>
      <c r="K41" s="51">
        <v>4.4000000000000004E-2</v>
      </c>
      <c r="L41" s="51">
        <v>0.19839999999999999</v>
      </c>
      <c r="M41" s="51">
        <f t="shared" si="4"/>
        <v>3.9399999999999991E-2</v>
      </c>
      <c r="N41">
        <v>0.38500000000000001</v>
      </c>
      <c r="O41" s="51">
        <v>8.3299999999999999E-2</v>
      </c>
      <c r="P41" s="49"/>
      <c r="Q41" s="56"/>
      <c r="S41" s="61"/>
      <c r="T41" s="61"/>
    </row>
    <row r="42" spans="1:20">
      <c r="A42" t="s">
        <v>230</v>
      </c>
      <c r="B42">
        <v>7</v>
      </c>
      <c r="C42">
        <f>C24</f>
        <v>261</v>
      </c>
      <c r="D42">
        <v>24</v>
      </c>
      <c r="E42">
        <v>0</v>
      </c>
      <c r="F42">
        <v>6</v>
      </c>
      <c r="G42" s="51">
        <f t="shared" si="6"/>
        <v>0.1038961038961039</v>
      </c>
      <c r="H42" s="51">
        <f t="shared" si="1"/>
        <v>0</v>
      </c>
      <c r="I42" s="51">
        <f t="shared" si="2"/>
        <v>2.5999999999999999E-2</v>
      </c>
      <c r="J42" s="47">
        <f>C42-D42-F42-E42</f>
        <v>231</v>
      </c>
      <c r="K42" s="51">
        <v>4.4000000000000004E-2</v>
      </c>
      <c r="L42" s="51">
        <v>0.19839999999999999</v>
      </c>
      <c r="M42" s="51">
        <f t="shared" si="4"/>
        <v>3.9399999999999991E-2</v>
      </c>
      <c r="N42">
        <v>0.38500000000000001</v>
      </c>
      <c r="O42" s="61">
        <v>0.08</v>
      </c>
      <c r="P42" s="49"/>
      <c r="Q42" s="56"/>
      <c r="S42" s="61"/>
      <c r="T42" s="61"/>
    </row>
    <row r="43" spans="1:20">
      <c r="A43" t="s">
        <v>99</v>
      </c>
      <c r="B43">
        <v>9</v>
      </c>
      <c r="C43">
        <f>C24</f>
        <v>261</v>
      </c>
      <c r="D43">
        <v>25</v>
      </c>
      <c r="E43">
        <v>0</v>
      </c>
      <c r="F43">
        <v>6</v>
      </c>
      <c r="G43" s="51">
        <f>D43/(C43-D43-F43-E43)</f>
        <v>0.10869565217391304</v>
      </c>
      <c r="H43" s="51">
        <f t="shared" si="1"/>
        <v>0</v>
      </c>
      <c r="I43" s="51">
        <f t="shared" si="2"/>
        <v>2.6100000000000002E-2</v>
      </c>
      <c r="J43">
        <f>C43-D43-F43-E43</f>
        <v>230</v>
      </c>
      <c r="K43" s="3">
        <v>4.4000000000000004E-2</v>
      </c>
      <c r="L43" s="63" t="s">
        <v>231</v>
      </c>
      <c r="M43" s="3" t="e">
        <f t="shared" si="4"/>
        <v>#VALUE!</v>
      </c>
      <c r="N43">
        <v>0.38500000000000001</v>
      </c>
      <c r="O43" s="42">
        <v>0.08</v>
      </c>
      <c r="P43" s="49"/>
      <c r="Q43" s="56"/>
      <c r="S43" s="42"/>
      <c r="T43" s="42"/>
    </row>
    <row r="44" spans="1:20">
      <c r="A44" t="s">
        <v>62</v>
      </c>
      <c r="B44">
        <v>9</v>
      </c>
      <c r="C44">
        <f>C24</f>
        <v>261</v>
      </c>
      <c r="D44">
        <v>25</v>
      </c>
      <c r="F44">
        <v>6</v>
      </c>
      <c r="G44" s="3">
        <f t="shared" si="6"/>
        <v>0.10869565217391304</v>
      </c>
      <c r="H44" s="51">
        <f t="shared" si="1"/>
        <v>0</v>
      </c>
      <c r="I44" s="51">
        <f t="shared" si="2"/>
        <v>2.6100000000000002E-2</v>
      </c>
      <c r="J44">
        <f t="shared" si="5"/>
        <v>230</v>
      </c>
      <c r="K44" s="3">
        <v>4.4000000000000004E-2</v>
      </c>
      <c r="L44" s="63" t="s">
        <v>231</v>
      </c>
      <c r="M44" s="3" t="e">
        <f t="shared" si="4"/>
        <v>#VALUE!</v>
      </c>
      <c r="N44">
        <v>0.38500000000000001</v>
      </c>
      <c r="O44" s="42">
        <v>0.08</v>
      </c>
      <c r="P44" s="49"/>
      <c r="Q44" s="56"/>
      <c r="S44" s="42"/>
      <c r="T44" s="42"/>
    </row>
    <row r="45" spans="1:20">
      <c r="A45" t="s">
        <v>63</v>
      </c>
      <c r="B45">
        <v>9</v>
      </c>
      <c r="C45">
        <f>C24</f>
        <v>261</v>
      </c>
      <c r="D45">
        <v>26</v>
      </c>
      <c r="E45">
        <v>0</v>
      </c>
      <c r="F45">
        <v>6</v>
      </c>
      <c r="G45" s="3">
        <f t="shared" si="6"/>
        <v>0.11353711790393013</v>
      </c>
      <c r="H45" s="51">
        <f t="shared" si="1"/>
        <v>0</v>
      </c>
      <c r="I45" s="51">
        <f t="shared" si="2"/>
        <v>2.6200000000000001E-2</v>
      </c>
      <c r="J45">
        <f t="shared" si="5"/>
        <v>229</v>
      </c>
      <c r="K45" s="3">
        <v>4.4000000000000004E-2</v>
      </c>
      <c r="L45" s="3">
        <v>0.107</v>
      </c>
      <c r="M45" s="3">
        <f t="shared" si="4"/>
        <v>0</v>
      </c>
      <c r="N45">
        <v>0.38500000000000001</v>
      </c>
      <c r="O45" s="42">
        <v>0.08</v>
      </c>
      <c r="P45" s="49"/>
      <c r="Q45" s="56"/>
      <c r="S45" s="42"/>
      <c r="T45" s="42"/>
    </row>
    <row r="46" spans="1:20">
      <c r="A46" t="s">
        <v>64</v>
      </c>
      <c r="B46">
        <v>10</v>
      </c>
      <c r="C46">
        <f>C24</f>
        <v>261</v>
      </c>
      <c r="D46" s="47">
        <v>25</v>
      </c>
      <c r="E46">
        <v>7</v>
      </c>
      <c r="F46">
        <v>7</v>
      </c>
      <c r="G46" s="51">
        <f t="shared" ref="G46:G97" si="7">D46/(C46-D46-F46-E46)</f>
        <v>0.11261261261261261</v>
      </c>
      <c r="H46" s="51">
        <f t="shared" si="1"/>
        <v>3.1531531531531529E-2</v>
      </c>
      <c r="I46" s="51">
        <f t="shared" ref="I46:I60" si="8">ROUND((F46/(C46-D46-F46-E46)),4)</f>
        <v>3.15E-2</v>
      </c>
      <c r="J46" s="47">
        <f>C46-D46-F46-E46</f>
        <v>222</v>
      </c>
      <c r="K46" s="3">
        <v>4.4000000000000004E-2</v>
      </c>
      <c r="L46" s="3">
        <v>0.15049999999999999</v>
      </c>
      <c r="M46" s="3">
        <f t="shared" si="4"/>
        <v>0</v>
      </c>
      <c r="N46">
        <v>0.38500000000000001</v>
      </c>
      <c r="O46" s="42">
        <v>0.08</v>
      </c>
      <c r="P46" s="49"/>
      <c r="Q46" s="56"/>
      <c r="S46" s="42"/>
      <c r="T46" s="42"/>
    </row>
    <row r="47" spans="1:20">
      <c r="A47" t="s">
        <v>232</v>
      </c>
      <c r="B47">
        <v>10</v>
      </c>
      <c r="C47">
        <f>C46</f>
        <v>261</v>
      </c>
      <c r="D47" s="47">
        <v>25</v>
      </c>
      <c r="E47">
        <v>0</v>
      </c>
      <c r="F47">
        <v>7</v>
      </c>
      <c r="G47" s="51">
        <f>D47/(C47-D47-F47-E47)</f>
        <v>0.1091703056768559</v>
      </c>
      <c r="H47" s="51">
        <f t="shared" si="1"/>
        <v>0</v>
      </c>
      <c r="I47" s="51">
        <f>ROUND((F47/(C47-D47-F47-E47)),4)</f>
        <v>3.0599999999999999E-2</v>
      </c>
      <c r="J47" s="47">
        <f>C47-D47-F47-E47</f>
        <v>229</v>
      </c>
      <c r="K47" s="3">
        <v>4.3999999999999997E-2</v>
      </c>
      <c r="L47" s="3">
        <v>0.15049999999999999</v>
      </c>
      <c r="M47" s="3">
        <f t="shared" si="4"/>
        <v>0</v>
      </c>
      <c r="N47">
        <v>0.38500000000000001</v>
      </c>
      <c r="O47" s="42">
        <v>0.08</v>
      </c>
      <c r="P47" s="49"/>
      <c r="Q47" s="56"/>
      <c r="S47" s="42"/>
      <c r="T47" s="42"/>
    </row>
    <row r="48" spans="1:20">
      <c r="A48" t="s">
        <v>65</v>
      </c>
      <c r="B48">
        <v>7</v>
      </c>
      <c r="C48">
        <f>C24</f>
        <v>261</v>
      </c>
      <c r="D48">
        <v>32</v>
      </c>
      <c r="E48">
        <v>0</v>
      </c>
      <c r="F48">
        <v>6</v>
      </c>
      <c r="G48" s="3">
        <f t="shared" si="7"/>
        <v>0.14349775784753363</v>
      </c>
      <c r="H48" s="3">
        <f t="shared" si="1"/>
        <v>0</v>
      </c>
      <c r="I48" s="3">
        <f t="shared" si="8"/>
        <v>2.69E-2</v>
      </c>
      <c r="J48" s="47">
        <f>C48-D48-F48-E48</f>
        <v>223</v>
      </c>
      <c r="K48" s="3">
        <v>4.4000000000000004E-2</v>
      </c>
      <c r="L48" s="58">
        <v>0.17813599999999999</v>
      </c>
      <c r="M48" s="3">
        <f t="shared" si="4"/>
        <v>1.9135999999999986E-2</v>
      </c>
      <c r="N48">
        <v>0.38500000000000001</v>
      </c>
      <c r="O48" s="3">
        <v>8.3299999999999999E-2</v>
      </c>
      <c r="P48" s="49"/>
      <c r="Q48" s="56"/>
      <c r="S48" s="42"/>
      <c r="T48" s="42"/>
    </row>
    <row r="49" spans="1:20">
      <c r="A49" t="s">
        <v>66</v>
      </c>
      <c r="B49">
        <v>8</v>
      </c>
      <c r="C49">
        <f>C24</f>
        <v>261</v>
      </c>
      <c r="D49" s="47">
        <v>25</v>
      </c>
      <c r="E49">
        <v>0</v>
      </c>
      <c r="F49">
        <v>7</v>
      </c>
      <c r="G49" s="51">
        <f t="shared" si="7"/>
        <v>0.1091703056768559</v>
      </c>
      <c r="H49" s="51">
        <f t="shared" si="1"/>
        <v>0</v>
      </c>
      <c r="I49" s="51">
        <f t="shared" si="8"/>
        <v>3.0599999999999999E-2</v>
      </c>
      <c r="J49" s="47">
        <f>C49-D49-F49-E49</f>
        <v>229</v>
      </c>
      <c r="K49" s="3">
        <v>4.4000000000000004E-2</v>
      </c>
      <c r="L49" s="3">
        <v>0.19089999999999999</v>
      </c>
      <c r="M49" s="3">
        <f t="shared" si="4"/>
        <v>3.1899999999999984E-2</v>
      </c>
      <c r="N49">
        <v>0.38500000000000001</v>
      </c>
      <c r="O49" s="42">
        <v>0.08</v>
      </c>
      <c r="P49" s="49"/>
      <c r="Q49" s="56"/>
      <c r="S49" s="42"/>
      <c r="T49" s="42"/>
    </row>
    <row r="50" spans="1:20">
      <c r="A50" t="s">
        <v>67</v>
      </c>
      <c r="B50">
        <v>9</v>
      </c>
      <c r="C50">
        <f>C24</f>
        <v>261</v>
      </c>
      <c r="D50">
        <v>25.5</v>
      </c>
      <c r="E50">
        <v>0</v>
      </c>
      <c r="F50">
        <v>6</v>
      </c>
      <c r="G50" s="51">
        <f t="shared" si="7"/>
        <v>0.1111111111111111</v>
      </c>
      <c r="H50" s="51">
        <f t="shared" si="1"/>
        <v>0</v>
      </c>
      <c r="I50" s="51">
        <f t="shared" si="8"/>
        <v>2.6100000000000002E-2</v>
      </c>
      <c r="J50" s="47">
        <f t="shared" ref="J50:J60" si="9">C50-D50-F50-E50</f>
        <v>229.5</v>
      </c>
      <c r="K50" s="3">
        <v>4.4000000000000004E-2</v>
      </c>
      <c r="L50" s="3">
        <v>0.19089999999999999</v>
      </c>
      <c r="M50" s="3">
        <f t="shared" si="4"/>
        <v>3.1899999999999984E-2</v>
      </c>
      <c r="N50" s="52">
        <f>9.77/D50</f>
        <v>0.38313725490196077</v>
      </c>
      <c r="O50" s="3">
        <v>8.3299999999999999E-2</v>
      </c>
      <c r="P50" s="49"/>
      <c r="Q50" s="56"/>
      <c r="S50" s="42"/>
      <c r="T50" s="42"/>
    </row>
    <row r="51" spans="1:20">
      <c r="A51" t="s">
        <v>68</v>
      </c>
      <c r="B51">
        <v>7</v>
      </c>
      <c r="C51">
        <f>C24</f>
        <v>261</v>
      </c>
      <c r="D51">
        <v>26</v>
      </c>
      <c r="E51">
        <v>13</v>
      </c>
      <c r="F51">
        <v>6</v>
      </c>
      <c r="G51" s="51">
        <f t="shared" si="7"/>
        <v>0.12037037037037036</v>
      </c>
      <c r="H51" s="51">
        <f t="shared" ref="H51:H60" si="10">E51/(C51-D51-F51-E51)</f>
        <v>6.0185185185185182E-2</v>
      </c>
      <c r="I51" s="51">
        <f t="shared" si="8"/>
        <v>2.7799999999999998E-2</v>
      </c>
      <c r="J51">
        <f t="shared" si="9"/>
        <v>216</v>
      </c>
      <c r="K51" s="3">
        <v>4.4000000000000004E-2</v>
      </c>
      <c r="L51" s="3">
        <v>0.19089999999999999</v>
      </c>
      <c r="M51" s="3">
        <f t="shared" si="4"/>
        <v>3.1899999999999984E-2</v>
      </c>
      <c r="N51">
        <v>0.38500000000000001</v>
      </c>
      <c r="O51" s="3">
        <v>8.3299999999999999E-2</v>
      </c>
      <c r="P51" s="49"/>
      <c r="Q51" s="56"/>
      <c r="S51" s="42"/>
      <c r="T51" s="42"/>
    </row>
    <row r="52" spans="1:20">
      <c r="A52" t="s">
        <v>233</v>
      </c>
      <c r="B52">
        <v>7</v>
      </c>
      <c r="C52">
        <f>C51</f>
        <v>261</v>
      </c>
      <c r="D52">
        <v>26</v>
      </c>
      <c r="E52">
        <v>0</v>
      </c>
      <c r="F52">
        <v>6</v>
      </c>
      <c r="G52" s="3">
        <f>D52/(C52-D52-F52-E52)</f>
        <v>0.11353711790393013</v>
      </c>
      <c r="H52" s="3">
        <f>E52/(C52-D52-F52-E52)</f>
        <v>0</v>
      </c>
      <c r="I52" s="3">
        <f>ROUND((F52/(C52-D52-F52-E52)),4)</f>
        <v>2.6200000000000001E-2</v>
      </c>
      <c r="J52">
        <f>C52-D52-F52-E52</f>
        <v>229</v>
      </c>
      <c r="K52" s="3">
        <v>4.4000000000000004E-2</v>
      </c>
      <c r="L52" s="3">
        <v>0.19089999999999999</v>
      </c>
      <c r="M52" s="3">
        <f t="shared" si="4"/>
        <v>3.1899999999999984E-2</v>
      </c>
      <c r="N52">
        <v>0.38500000000000001</v>
      </c>
      <c r="O52" s="3">
        <v>8.3299999999999999E-2</v>
      </c>
      <c r="P52" s="49"/>
      <c r="Q52" s="56"/>
      <c r="S52" s="42"/>
      <c r="T52" s="42"/>
    </row>
    <row r="53" spans="1:20">
      <c r="A53" t="s">
        <v>234</v>
      </c>
      <c r="B53">
        <v>9</v>
      </c>
      <c r="C53">
        <f>C50</f>
        <v>261</v>
      </c>
      <c r="D53">
        <v>25</v>
      </c>
      <c r="E53">
        <v>0</v>
      </c>
      <c r="F53">
        <v>6</v>
      </c>
      <c r="G53" s="3">
        <f>D53/(C53-D53-F53-E53)</f>
        <v>0.10869565217391304</v>
      </c>
      <c r="H53" s="3">
        <f>E53/(C53-D53-F53-E53)</f>
        <v>0</v>
      </c>
      <c r="I53" s="3">
        <f>ROUND((F53/(C53-D53-F53-E53)),4)</f>
        <v>2.6100000000000002E-2</v>
      </c>
      <c r="J53">
        <f>C53-D53-F53-E53</f>
        <v>230</v>
      </c>
      <c r="K53" s="3">
        <v>4.4000000000000004E-2</v>
      </c>
      <c r="L53" s="62">
        <v>0.18675</v>
      </c>
      <c r="M53" s="3">
        <f t="shared" si="4"/>
        <v>2.7749999999999997E-2</v>
      </c>
      <c r="N53">
        <v>0.38500000000000001</v>
      </c>
      <c r="O53" s="3">
        <v>8.3299999999999999E-2</v>
      </c>
      <c r="P53" s="49"/>
      <c r="Q53" s="56"/>
      <c r="S53" s="42"/>
      <c r="T53" s="42"/>
    </row>
    <row r="54" spans="1:20">
      <c r="A54" t="s">
        <v>69</v>
      </c>
      <c r="B54">
        <v>9</v>
      </c>
      <c r="C54">
        <f>C51</f>
        <v>261</v>
      </c>
      <c r="D54">
        <v>24</v>
      </c>
      <c r="E54">
        <v>0</v>
      </c>
      <c r="F54">
        <v>6</v>
      </c>
      <c r="G54" s="51">
        <f t="shared" si="7"/>
        <v>0.1038961038961039</v>
      </c>
      <c r="H54" s="51">
        <f t="shared" si="10"/>
        <v>0</v>
      </c>
      <c r="I54" s="51">
        <f t="shared" si="8"/>
        <v>2.5999999999999999E-2</v>
      </c>
      <c r="J54">
        <f t="shared" si="9"/>
        <v>231</v>
      </c>
      <c r="K54" s="3">
        <v>4.4000000000000004E-2</v>
      </c>
      <c r="L54" s="62">
        <v>0.18675</v>
      </c>
      <c r="M54" s="3">
        <f t="shared" si="4"/>
        <v>2.7749999999999997E-2</v>
      </c>
      <c r="N54">
        <v>0.38500000000000001</v>
      </c>
      <c r="O54" s="42">
        <v>0.08</v>
      </c>
      <c r="P54" s="49"/>
      <c r="Q54" s="56"/>
      <c r="S54" s="42"/>
      <c r="T54" s="42"/>
    </row>
    <row r="55" spans="1:20">
      <c r="A55" s="41" t="s">
        <v>70</v>
      </c>
      <c r="B55">
        <v>7</v>
      </c>
      <c r="C55">
        <f>C50</f>
        <v>261</v>
      </c>
      <c r="D55">
        <v>25</v>
      </c>
      <c r="E55">
        <v>0</v>
      </c>
      <c r="F55">
        <v>6</v>
      </c>
      <c r="G55" s="51">
        <f t="shared" si="7"/>
        <v>0.10869565217391304</v>
      </c>
      <c r="H55" s="51">
        <f t="shared" si="10"/>
        <v>0</v>
      </c>
      <c r="I55" s="51">
        <f t="shared" si="8"/>
        <v>2.6100000000000002E-2</v>
      </c>
      <c r="J55">
        <f t="shared" si="9"/>
        <v>230</v>
      </c>
      <c r="K55" s="51">
        <v>4.4000000000000004E-2</v>
      </c>
      <c r="L55" s="51">
        <v>0.19089999999999999</v>
      </c>
      <c r="M55" s="51">
        <f t="shared" si="4"/>
        <v>3.1899999999999984E-2</v>
      </c>
      <c r="N55">
        <v>0.38500000000000001</v>
      </c>
      <c r="O55" s="51">
        <v>8.2500000000000004E-2</v>
      </c>
      <c r="P55" s="49"/>
      <c r="Q55" s="56"/>
      <c r="S55" s="61"/>
      <c r="T55" s="61"/>
    </row>
    <row r="56" spans="1:20">
      <c r="A56" t="s">
        <v>71</v>
      </c>
      <c r="B56">
        <v>9</v>
      </c>
      <c r="C56">
        <f>C24</f>
        <v>261</v>
      </c>
      <c r="D56">
        <v>25</v>
      </c>
      <c r="E56">
        <v>12</v>
      </c>
      <c r="F56">
        <v>6</v>
      </c>
      <c r="G56" s="51">
        <f>D56/(C56-D56-F56-E56)</f>
        <v>0.11467889908256881</v>
      </c>
      <c r="H56" s="51">
        <f>E56/(C56-D56-F56-E56)</f>
        <v>5.5045871559633031E-2</v>
      </c>
      <c r="I56" s="51">
        <f>ROUND((F56/(C56-D56-F56-E56)),4)</f>
        <v>2.75E-2</v>
      </c>
      <c r="J56">
        <f>C56-D56-F56-E56</f>
        <v>218</v>
      </c>
      <c r="K56" s="3">
        <v>4.4000000000000004E-2</v>
      </c>
      <c r="L56" s="3">
        <v>0.128</v>
      </c>
      <c r="M56" s="3">
        <f t="shared" si="4"/>
        <v>0</v>
      </c>
      <c r="N56">
        <v>0.38500000000000001</v>
      </c>
      <c r="O56" s="42">
        <v>0.08</v>
      </c>
      <c r="P56" s="49"/>
      <c r="Q56" s="56"/>
      <c r="S56" s="42"/>
      <c r="T56" s="42"/>
    </row>
    <row r="57" spans="1:20">
      <c r="A57" t="s">
        <v>235</v>
      </c>
      <c r="B57">
        <v>9</v>
      </c>
      <c r="C57">
        <f>C56</f>
        <v>261</v>
      </c>
      <c r="D57">
        <v>25</v>
      </c>
      <c r="E57">
        <v>0</v>
      </c>
      <c r="F57">
        <v>6</v>
      </c>
      <c r="G57" s="3">
        <f>D57/(C57-D57-F57-E57)</f>
        <v>0.10869565217391304</v>
      </c>
      <c r="H57" s="3">
        <f>E57/(C57-D57-F57-E57)</f>
        <v>0</v>
      </c>
      <c r="I57" s="3">
        <f>ROUND((F57/(C57-D57-F57-E57)),4)</f>
        <v>2.6100000000000002E-2</v>
      </c>
      <c r="J57">
        <f>C57-D57-F57-E57</f>
        <v>230</v>
      </c>
      <c r="K57" s="3">
        <v>4.4000000000000004E-2</v>
      </c>
      <c r="L57" s="3">
        <v>0.128</v>
      </c>
      <c r="M57" s="3">
        <f t="shared" si="4"/>
        <v>0</v>
      </c>
      <c r="N57">
        <v>0.38500000000000001</v>
      </c>
      <c r="O57" s="42">
        <v>0.08</v>
      </c>
      <c r="P57" s="49"/>
      <c r="Q57" s="56"/>
      <c r="S57" s="42"/>
      <c r="T57" s="42"/>
    </row>
    <row r="58" spans="1:20">
      <c r="A58" t="s">
        <v>72</v>
      </c>
      <c r="B58">
        <v>7</v>
      </c>
      <c r="C58">
        <f>C51</f>
        <v>261</v>
      </c>
      <c r="D58">
        <v>25</v>
      </c>
      <c r="E58">
        <v>10</v>
      </c>
      <c r="F58">
        <v>6</v>
      </c>
      <c r="G58" s="51">
        <f t="shared" si="7"/>
        <v>0.11363636363636363</v>
      </c>
      <c r="H58" s="51">
        <f t="shared" si="10"/>
        <v>4.5454545454545456E-2</v>
      </c>
      <c r="I58" s="51">
        <f t="shared" si="8"/>
        <v>2.7300000000000001E-2</v>
      </c>
      <c r="J58">
        <f t="shared" si="9"/>
        <v>220</v>
      </c>
      <c r="K58" s="3">
        <v>0.04</v>
      </c>
      <c r="L58" s="58">
        <v>0.175514</v>
      </c>
      <c r="M58" s="3">
        <f t="shared" si="4"/>
        <v>1.6514000000000001E-2</v>
      </c>
      <c r="N58" s="52">
        <v>0.38313999999999998</v>
      </c>
      <c r="O58" s="42">
        <v>0.08</v>
      </c>
      <c r="P58" s="56"/>
      <c r="Q58" s="56"/>
      <c r="S58" s="42"/>
      <c r="T58" s="42"/>
    </row>
    <row r="59" spans="1:20">
      <c r="A59" t="s">
        <v>236</v>
      </c>
      <c r="B59">
        <v>7</v>
      </c>
      <c r="C59">
        <f>C52</f>
        <v>261</v>
      </c>
      <c r="D59">
        <v>25</v>
      </c>
      <c r="E59">
        <v>0</v>
      </c>
      <c r="F59">
        <v>6</v>
      </c>
      <c r="G59" s="3">
        <f>D59/(C59-D59-F59-E59)</f>
        <v>0.10869565217391304</v>
      </c>
      <c r="H59" s="3">
        <f>E59/(C59-D59-F59-E59)</f>
        <v>0</v>
      </c>
      <c r="I59" s="3">
        <f>ROUND((F59/(C59-D59-F59-E59)),4)</f>
        <v>2.6100000000000002E-2</v>
      </c>
      <c r="J59">
        <f>C59-D59-F59-E59</f>
        <v>230</v>
      </c>
      <c r="K59" s="3">
        <v>0.04</v>
      </c>
      <c r="L59" s="58">
        <v>0.175514</v>
      </c>
      <c r="M59" s="3">
        <f t="shared" si="4"/>
        <v>1.6514000000000001E-2</v>
      </c>
      <c r="N59" s="52">
        <v>0.38313999999999998</v>
      </c>
      <c r="O59" s="42">
        <v>0.08</v>
      </c>
      <c r="P59" s="56"/>
      <c r="Q59" s="56"/>
      <c r="S59" s="42"/>
      <c r="T59" s="42"/>
    </row>
    <row r="60" spans="1:20">
      <c r="A60" t="s">
        <v>73</v>
      </c>
      <c r="B60">
        <v>7</v>
      </c>
      <c r="C60">
        <f>C55</f>
        <v>261</v>
      </c>
      <c r="D60">
        <v>25</v>
      </c>
      <c r="E60">
        <v>15.5</v>
      </c>
      <c r="F60">
        <v>6</v>
      </c>
      <c r="G60" s="51">
        <f t="shared" si="7"/>
        <v>0.11655011655011654</v>
      </c>
      <c r="H60" s="51">
        <f t="shared" si="10"/>
        <v>7.2261072261072257E-2</v>
      </c>
      <c r="I60" s="51">
        <f t="shared" si="8"/>
        <v>2.8000000000000001E-2</v>
      </c>
      <c r="J60">
        <f t="shared" si="9"/>
        <v>214.5</v>
      </c>
      <c r="K60" s="3">
        <v>4.4000000000000004E-2</v>
      </c>
      <c r="L60" s="3">
        <v>0.14299999999999999</v>
      </c>
      <c r="M60" s="3">
        <f t="shared" si="4"/>
        <v>0</v>
      </c>
      <c r="N60">
        <v>0.38500000000000001</v>
      </c>
      <c r="O60" s="42">
        <v>0.08</v>
      </c>
      <c r="P60" s="49"/>
      <c r="Q60" s="56"/>
      <c r="S60" s="42"/>
      <c r="T60" s="42"/>
    </row>
    <row r="61" spans="1:20">
      <c r="A61" t="s">
        <v>237</v>
      </c>
      <c r="B61">
        <v>7</v>
      </c>
      <c r="C61">
        <f>C56</f>
        <v>261</v>
      </c>
      <c r="D61">
        <v>25</v>
      </c>
      <c r="E61">
        <v>0</v>
      </c>
      <c r="F61">
        <v>6</v>
      </c>
      <c r="G61" s="3">
        <f>D61/(C61-D61-F61-E61)</f>
        <v>0.10869565217391304</v>
      </c>
      <c r="H61" s="3">
        <f t="shared" ref="H61:H66" si="11">E61/(C61-D61-F61-E61)</f>
        <v>0</v>
      </c>
      <c r="I61" s="3">
        <f t="shared" ref="I61:I66" si="12">ROUND((F61/(C61-D61-F61-E61)),4)</f>
        <v>2.6100000000000002E-2</v>
      </c>
      <c r="J61">
        <f t="shared" ref="J61:J66" si="13">C61-D61-F61-E61</f>
        <v>230</v>
      </c>
      <c r="K61" s="3">
        <v>4.4000000000000004E-2</v>
      </c>
      <c r="L61" s="3">
        <v>0.14299999999999999</v>
      </c>
      <c r="M61" s="3">
        <f t="shared" si="4"/>
        <v>0</v>
      </c>
      <c r="N61">
        <v>0.38500000000000001</v>
      </c>
      <c r="O61" s="42">
        <v>0.08</v>
      </c>
      <c r="P61" s="49"/>
      <c r="Q61" s="56"/>
      <c r="S61" s="42"/>
      <c r="T61" s="42"/>
    </row>
    <row r="62" spans="1:20" ht="14.25" customHeight="1">
      <c r="A62" t="s">
        <v>74</v>
      </c>
      <c r="B62">
        <v>9</v>
      </c>
      <c r="C62">
        <f>C24</f>
        <v>261</v>
      </c>
      <c r="D62">
        <v>25</v>
      </c>
      <c r="E62">
        <v>0</v>
      </c>
      <c r="F62">
        <v>6</v>
      </c>
      <c r="G62" s="51">
        <f t="shared" si="7"/>
        <v>0.10869565217391304</v>
      </c>
      <c r="H62" s="51">
        <f t="shared" si="11"/>
        <v>0</v>
      </c>
      <c r="I62" s="51">
        <f t="shared" si="12"/>
        <v>2.6100000000000002E-2</v>
      </c>
      <c r="J62">
        <f t="shared" si="13"/>
        <v>230</v>
      </c>
      <c r="K62" s="3">
        <v>4.4000000000000004E-2</v>
      </c>
      <c r="L62" s="3">
        <v>8.4000000000000005E-2</v>
      </c>
      <c r="M62" s="3">
        <f t="shared" si="4"/>
        <v>0</v>
      </c>
      <c r="N62">
        <v>0.38500000000000001</v>
      </c>
      <c r="O62" s="42">
        <v>0.08</v>
      </c>
      <c r="P62" s="49"/>
      <c r="Q62" s="56"/>
      <c r="S62" s="42"/>
      <c r="T62" s="42"/>
    </row>
    <row r="63" spans="1:20">
      <c r="A63" t="s">
        <v>238</v>
      </c>
      <c r="B63">
        <v>7</v>
      </c>
      <c r="C63">
        <f>C24</f>
        <v>261</v>
      </c>
      <c r="D63" s="47">
        <v>25</v>
      </c>
      <c r="E63">
        <v>22</v>
      </c>
      <c r="F63">
        <v>6</v>
      </c>
      <c r="G63" s="51">
        <f>D63/(C63-D63-F63-E63)</f>
        <v>0.1201923076923077</v>
      </c>
      <c r="H63" s="51">
        <f t="shared" si="11"/>
        <v>0.10576923076923077</v>
      </c>
      <c r="I63" s="51">
        <f t="shared" si="12"/>
        <v>2.8799999999999999E-2</v>
      </c>
      <c r="J63" s="47">
        <f t="shared" si="13"/>
        <v>208</v>
      </c>
      <c r="K63" s="3">
        <v>4.4000000000000004E-2</v>
      </c>
      <c r="L63" s="3">
        <v>0.18</v>
      </c>
      <c r="M63" s="3">
        <f t="shared" si="4"/>
        <v>2.0999999999999991E-2</v>
      </c>
      <c r="N63">
        <v>0.38500000000000001</v>
      </c>
      <c r="O63" s="3">
        <v>8.3299999999999999E-2</v>
      </c>
      <c r="P63" s="49"/>
      <c r="Q63" s="56"/>
      <c r="S63" s="42"/>
      <c r="T63" s="42"/>
    </row>
    <row r="64" spans="1:20">
      <c r="A64" t="s">
        <v>239</v>
      </c>
      <c r="B64">
        <v>7</v>
      </c>
      <c r="C64">
        <f>C63</f>
        <v>261</v>
      </c>
      <c r="D64">
        <v>25</v>
      </c>
      <c r="E64">
        <v>0</v>
      </c>
      <c r="F64">
        <v>6</v>
      </c>
      <c r="G64" s="3">
        <f>D64/(C64-D64-F64-E64)</f>
        <v>0.10869565217391304</v>
      </c>
      <c r="H64" s="3">
        <f t="shared" si="11"/>
        <v>0</v>
      </c>
      <c r="I64" s="3">
        <f t="shared" si="12"/>
        <v>2.6100000000000002E-2</v>
      </c>
      <c r="J64" s="47">
        <f t="shared" si="13"/>
        <v>230</v>
      </c>
      <c r="K64" s="3">
        <v>4.4000000000000004E-2</v>
      </c>
      <c r="L64" s="3">
        <v>0.18</v>
      </c>
      <c r="M64" s="3">
        <f t="shared" si="4"/>
        <v>2.0999999999999991E-2</v>
      </c>
      <c r="N64">
        <v>0.38500000000000001</v>
      </c>
      <c r="O64" s="3">
        <v>8.3299999999999999E-2</v>
      </c>
      <c r="P64" s="49"/>
      <c r="Q64" s="56"/>
      <c r="S64" s="42"/>
      <c r="T64" s="42"/>
    </row>
    <row r="65" spans="1:20">
      <c r="A65" t="s">
        <v>75</v>
      </c>
      <c r="B65">
        <v>7</v>
      </c>
      <c r="C65">
        <f>C24</f>
        <v>261</v>
      </c>
      <c r="D65">
        <v>24</v>
      </c>
      <c r="E65">
        <v>22</v>
      </c>
      <c r="F65">
        <v>6</v>
      </c>
      <c r="G65" s="3">
        <f>D65/(C65-D65-F65-E65)</f>
        <v>0.11483253588516747</v>
      </c>
      <c r="H65" s="3">
        <f t="shared" si="11"/>
        <v>0.10526315789473684</v>
      </c>
      <c r="I65" s="3">
        <f t="shared" si="12"/>
        <v>2.87E-2</v>
      </c>
      <c r="J65" s="47">
        <f t="shared" si="13"/>
        <v>209</v>
      </c>
      <c r="K65" s="3">
        <v>4.4000000000000004E-2</v>
      </c>
      <c r="L65" s="3">
        <v>0.18</v>
      </c>
      <c r="M65" s="3">
        <f t="shared" si="4"/>
        <v>2.0999999999999991E-2</v>
      </c>
      <c r="N65">
        <v>0.38500000000000001</v>
      </c>
      <c r="O65" s="42">
        <v>0.08</v>
      </c>
      <c r="P65" s="49"/>
      <c r="Q65" s="56"/>
      <c r="S65" s="42"/>
      <c r="T65" s="42"/>
    </row>
    <row r="66" spans="1:20">
      <c r="A66" t="s">
        <v>240</v>
      </c>
      <c r="B66">
        <v>7</v>
      </c>
      <c r="C66">
        <f>C65</f>
        <v>261</v>
      </c>
      <c r="D66">
        <v>24</v>
      </c>
      <c r="E66">
        <v>0</v>
      </c>
      <c r="F66">
        <v>6</v>
      </c>
      <c r="G66" s="3">
        <f>D66/(C66-D66-F66-E66)</f>
        <v>0.1038961038961039</v>
      </c>
      <c r="H66" s="3">
        <f t="shared" si="11"/>
        <v>0</v>
      </c>
      <c r="I66" s="3">
        <f t="shared" si="12"/>
        <v>2.5999999999999999E-2</v>
      </c>
      <c r="J66" s="47">
        <f t="shared" si="13"/>
        <v>231</v>
      </c>
      <c r="K66" s="3">
        <v>4.4000000000000004E-2</v>
      </c>
      <c r="L66" s="3">
        <v>0.18</v>
      </c>
      <c r="M66" s="3">
        <f t="shared" si="4"/>
        <v>2.0999999999999991E-2</v>
      </c>
      <c r="N66">
        <v>0.38500000000000001</v>
      </c>
      <c r="O66" s="42">
        <v>0.08</v>
      </c>
      <c r="P66" s="49"/>
      <c r="Q66" s="56"/>
      <c r="S66" s="42"/>
      <c r="T66" s="42"/>
    </row>
    <row r="67" spans="1:20">
      <c r="A67" t="s">
        <v>76</v>
      </c>
      <c r="B67">
        <v>7</v>
      </c>
      <c r="C67">
        <f>C24</f>
        <v>261</v>
      </c>
      <c r="D67">
        <v>25.56</v>
      </c>
      <c r="E67">
        <v>0</v>
      </c>
      <c r="F67">
        <v>6</v>
      </c>
      <c r="G67" s="3">
        <f t="shared" si="7"/>
        <v>0.11140167364016736</v>
      </c>
      <c r="H67" s="3">
        <f t="shared" ref="H67:H91" si="14">E67/(C67-D67-F67-E67)</f>
        <v>0</v>
      </c>
      <c r="I67" s="3">
        <f t="shared" ref="I67:I91" si="15">ROUND((F67/(C67-D67-F67-E67)),4)</f>
        <v>2.6200000000000001E-2</v>
      </c>
      <c r="J67" s="47">
        <f t="shared" ref="J67:J97" si="16">C67-D67-F67-E67</f>
        <v>229.44</v>
      </c>
      <c r="K67" s="3">
        <v>4.4000000000000004E-2</v>
      </c>
      <c r="L67" s="3">
        <v>0.17599999999999999</v>
      </c>
      <c r="M67" s="3">
        <f t="shared" si="4"/>
        <v>1.6999999999999987E-2</v>
      </c>
      <c r="N67">
        <v>0.38500000000000001</v>
      </c>
      <c r="O67" s="3">
        <v>8.3299999999999999E-2</v>
      </c>
      <c r="P67" s="49"/>
      <c r="Q67" s="56"/>
      <c r="S67" s="42"/>
      <c r="T67" s="42"/>
    </row>
    <row r="68" spans="1:20">
      <c r="A68" t="s">
        <v>77</v>
      </c>
      <c r="B68">
        <v>10</v>
      </c>
      <c r="C68">
        <f>C24</f>
        <v>261</v>
      </c>
      <c r="D68" s="47">
        <f>237.4/7.2</f>
        <v>32.972222222222221</v>
      </c>
      <c r="E68">
        <v>0</v>
      </c>
      <c r="F68">
        <v>7</v>
      </c>
      <c r="G68" s="51">
        <f>D68/(C68-D68-F68-E68)</f>
        <v>0.14917682543672239</v>
      </c>
      <c r="H68" s="51">
        <f>E68/(C68-D68-F68-E68)</f>
        <v>0</v>
      </c>
      <c r="I68" s="51">
        <f>ROUND((F68/(C68-D68-F68-E68)),4)</f>
        <v>3.1699999999999999E-2</v>
      </c>
      <c r="J68" s="47">
        <f t="shared" si="16"/>
        <v>221.02777777777777</v>
      </c>
      <c r="K68" s="3">
        <v>4.4000000000000004E-2</v>
      </c>
      <c r="L68" s="3">
        <v>0.129</v>
      </c>
      <c r="M68" s="3">
        <f t="shared" si="4"/>
        <v>0</v>
      </c>
      <c r="N68">
        <v>0.38500000000000001</v>
      </c>
      <c r="O68" s="42">
        <v>0.08</v>
      </c>
      <c r="P68" s="49"/>
      <c r="Q68" s="56"/>
      <c r="S68" s="42"/>
      <c r="T68" s="42"/>
    </row>
    <row r="69" spans="1:20">
      <c r="A69" t="s">
        <v>241</v>
      </c>
      <c r="B69">
        <v>9</v>
      </c>
      <c r="C69">
        <v>261</v>
      </c>
      <c r="D69">
        <v>25</v>
      </c>
      <c r="E69">
        <v>5</v>
      </c>
      <c r="F69">
        <v>6</v>
      </c>
      <c r="G69" s="3">
        <f>D69/(C69-D69-F69-E69)</f>
        <v>0.1111111111111111</v>
      </c>
      <c r="H69" s="3">
        <f>E69/(C69-D69-F69-E69)</f>
        <v>2.2222222222222223E-2</v>
      </c>
      <c r="I69" s="3">
        <f>ROUND((F69/(C69-D69-F69-E69)),4)</f>
        <v>2.6700000000000002E-2</v>
      </c>
      <c r="J69">
        <f>C69-D69-F69-E69</f>
        <v>225</v>
      </c>
      <c r="K69" s="3">
        <v>4.4000000000000004E-2</v>
      </c>
      <c r="L69" s="3">
        <v>0.13150000000000001</v>
      </c>
      <c r="M69" s="3">
        <f t="shared" si="4"/>
        <v>0</v>
      </c>
      <c r="N69">
        <v>0.38500000000000001</v>
      </c>
      <c r="O69" s="3">
        <v>8.3299999999999999E-2</v>
      </c>
      <c r="P69" s="49"/>
      <c r="Q69" s="56"/>
      <c r="S69" s="42"/>
      <c r="T69" s="42"/>
    </row>
    <row r="70" spans="1:20">
      <c r="A70" t="s">
        <v>242</v>
      </c>
      <c r="B70">
        <v>9</v>
      </c>
      <c r="C70">
        <v>261</v>
      </c>
      <c r="D70">
        <v>25</v>
      </c>
      <c r="E70">
        <v>0</v>
      </c>
      <c r="F70">
        <v>6</v>
      </c>
      <c r="G70" s="3">
        <f>D70/(C70-D70-F70-E70)</f>
        <v>0.10869565217391304</v>
      </c>
      <c r="H70" s="3">
        <f>E70/(C70-D70-F70-E70)</f>
        <v>0</v>
      </c>
      <c r="I70" s="3">
        <f>ROUND((F70/(C70-D70-F70-E70)),4)</f>
        <v>2.6100000000000002E-2</v>
      </c>
      <c r="J70">
        <f>C70-D70-F70-E70</f>
        <v>230</v>
      </c>
      <c r="K70" s="3">
        <v>4.4000000000000004E-2</v>
      </c>
      <c r="L70" s="3">
        <v>0.13150000000000001</v>
      </c>
      <c r="M70" s="3">
        <f t="shared" si="4"/>
        <v>0</v>
      </c>
      <c r="N70">
        <v>0.38500000000000001</v>
      </c>
      <c r="O70" s="3">
        <v>8.3299999999999999E-2</v>
      </c>
      <c r="P70" s="49"/>
      <c r="Q70" s="56"/>
      <c r="S70" s="42"/>
      <c r="T70" s="42"/>
    </row>
    <row r="71" spans="1:20">
      <c r="A71" t="s">
        <v>78</v>
      </c>
      <c r="B71">
        <v>9</v>
      </c>
      <c r="C71">
        <v>261</v>
      </c>
      <c r="D71">
        <v>24</v>
      </c>
      <c r="E71">
        <v>5</v>
      </c>
      <c r="F71">
        <v>6</v>
      </c>
      <c r="G71" s="51">
        <f t="shared" si="7"/>
        <v>0.10619469026548672</v>
      </c>
      <c r="H71" s="51">
        <f t="shared" si="14"/>
        <v>2.2123893805309734E-2</v>
      </c>
      <c r="I71" s="51">
        <f t="shared" si="15"/>
        <v>2.6499999999999999E-2</v>
      </c>
      <c r="J71">
        <f t="shared" si="16"/>
        <v>226</v>
      </c>
      <c r="K71" s="3">
        <v>4.4000000000000004E-2</v>
      </c>
      <c r="L71" s="3">
        <v>0.13150000000000001</v>
      </c>
      <c r="M71" s="3">
        <f t="shared" si="4"/>
        <v>0</v>
      </c>
      <c r="N71">
        <v>0.38500000000000001</v>
      </c>
      <c r="O71" s="3">
        <v>8.3299999999999999E-2</v>
      </c>
      <c r="P71" s="49"/>
      <c r="Q71" s="56"/>
      <c r="S71" s="42"/>
      <c r="T71" s="42"/>
    </row>
    <row r="72" spans="1:20">
      <c r="A72" t="s">
        <v>243</v>
      </c>
      <c r="B72">
        <v>9</v>
      </c>
      <c r="C72">
        <v>261</v>
      </c>
      <c r="D72">
        <v>24</v>
      </c>
      <c r="E72">
        <v>0</v>
      </c>
      <c r="F72">
        <v>6</v>
      </c>
      <c r="G72" s="3">
        <f>D72/(C72-D72-F72-E72)</f>
        <v>0.1038961038961039</v>
      </c>
      <c r="H72" s="3">
        <f>E72/(C72-D72-F72-E72)</f>
        <v>0</v>
      </c>
      <c r="I72" s="3">
        <f>ROUND((F72/(C72-D72-F72-E72)),4)</f>
        <v>2.5999999999999999E-2</v>
      </c>
      <c r="J72">
        <f>C72-D72-F72-E72</f>
        <v>231</v>
      </c>
      <c r="K72" s="3">
        <v>4.4000000000000004E-2</v>
      </c>
      <c r="L72" s="3">
        <v>0.13150000000000001</v>
      </c>
      <c r="M72" s="3">
        <f t="shared" si="4"/>
        <v>0</v>
      </c>
      <c r="N72">
        <v>0.38500000000000001</v>
      </c>
      <c r="O72" s="3">
        <v>8.3299999999999999E-2</v>
      </c>
      <c r="P72" s="49"/>
      <c r="Q72" s="56"/>
      <c r="S72" s="42"/>
      <c r="T72" s="42"/>
    </row>
    <row r="73" spans="1:20">
      <c r="A73" t="s">
        <v>79</v>
      </c>
      <c r="B73">
        <v>9</v>
      </c>
      <c r="C73">
        <f>C71</f>
        <v>261</v>
      </c>
      <c r="D73" s="47">
        <v>25</v>
      </c>
      <c r="E73">
        <v>0</v>
      </c>
      <c r="F73">
        <v>6</v>
      </c>
      <c r="G73" s="51">
        <f t="shared" si="7"/>
        <v>0.10869565217391304</v>
      </c>
      <c r="H73" s="51">
        <f t="shared" si="14"/>
        <v>0</v>
      </c>
      <c r="I73" s="51">
        <f t="shared" si="15"/>
        <v>2.6100000000000002E-2</v>
      </c>
      <c r="J73">
        <f t="shared" si="16"/>
        <v>230</v>
      </c>
      <c r="K73" s="3">
        <v>4.4000000000000004E-2</v>
      </c>
      <c r="L73" s="3">
        <v>0.12330000000000001</v>
      </c>
      <c r="M73" s="3">
        <f t="shared" si="4"/>
        <v>0</v>
      </c>
      <c r="N73">
        <v>0.38500000000000001</v>
      </c>
      <c r="O73" s="42">
        <v>0.08</v>
      </c>
      <c r="P73" s="49"/>
      <c r="Q73" s="56"/>
      <c r="S73" s="42"/>
      <c r="T73" s="42"/>
    </row>
    <row r="74" spans="1:20">
      <c r="A74" t="s">
        <v>80</v>
      </c>
      <c r="B74">
        <v>9</v>
      </c>
      <c r="C74">
        <f>C71</f>
        <v>261</v>
      </c>
      <c r="D74" s="47">
        <v>25</v>
      </c>
      <c r="E74">
        <v>0</v>
      </c>
      <c r="F74">
        <v>6</v>
      </c>
      <c r="G74" s="51">
        <f t="shared" si="7"/>
        <v>0.10869565217391304</v>
      </c>
      <c r="H74" s="51">
        <f t="shared" si="14"/>
        <v>0</v>
      </c>
      <c r="I74" s="51">
        <f t="shared" si="15"/>
        <v>2.6100000000000002E-2</v>
      </c>
      <c r="J74">
        <f t="shared" si="16"/>
        <v>230</v>
      </c>
      <c r="K74" s="3">
        <v>4.4000000000000004E-2</v>
      </c>
      <c r="L74" s="3">
        <v>0.17599999999999999</v>
      </c>
      <c r="M74" s="3">
        <f t="shared" si="4"/>
        <v>1.6999999999999987E-2</v>
      </c>
      <c r="N74">
        <v>0.38500000000000001</v>
      </c>
      <c r="O74" s="42">
        <v>0.08</v>
      </c>
      <c r="P74" s="49"/>
      <c r="Q74" s="56"/>
      <c r="S74" s="42"/>
      <c r="T74" s="42"/>
    </row>
    <row r="75" spans="1:20">
      <c r="A75" t="s">
        <v>81</v>
      </c>
      <c r="B75">
        <v>7</v>
      </c>
      <c r="C75">
        <v>261</v>
      </c>
      <c r="D75">
        <v>25</v>
      </c>
      <c r="E75">
        <v>12</v>
      </c>
      <c r="F75">
        <v>6</v>
      </c>
      <c r="G75" s="3">
        <f t="shared" si="7"/>
        <v>0.11467889908256881</v>
      </c>
      <c r="H75" s="3">
        <f t="shared" si="14"/>
        <v>5.5045871559633031E-2</v>
      </c>
      <c r="I75" s="51">
        <f t="shared" si="15"/>
        <v>2.75E-2</v>
      </c>
      <c r="J75">
        <f t="shared" si="16"/>
        <v>218</v>
      </c>
      <c r="K75" s="3">
        <v>4.4000000000000004E-2</v>
      </c>
      <c r="L75" s="3">
        <v>0.16900000000000001</v>
      </c>
      <c r="M75" s="3">
        <f t="shared" si="4"/>
        <v>1.0000000000000009E-2</v>
      </c>
      <c r="N75">
        <v>0.43</v>
      </c>
      <c r="O75" s="42">
        <v>0.08</v>
      </c>
      <c r="P75" s="49"/>
      <c r="Q75" s="56"/>
      <c r="S75" s="42"/>
      <c r="T75" s="42"/>
    </row>
    <row r="76" spans="1:20">
      <c r="A76" t="s">
        <v>244</v>
      </c>
      <c r="B76">
        <v>7</v>
      </c>
      <c r="C76">
        <v>261</v>
      </c>
      <c r="D76">
        <v>25</v>
      </c>
      <c r="E76">
        <v>0</v>
      </c>
      <c r="F76">
        <v>6</v>
      </c>
      <c r="G76" s="3">
        <f>D76/(C76-D76-F76-E76)</f>
        <v>0.10869565217391304</v>
      </c>
      <c r="H76" s="3">
        <f>E76/(C76-D76-F76-E76)</f>
        <v>0</v>
      </c>
      <c r="I76" s="3">
        <f>ROUND((F76/(C76-D76-F76-E76)),4)</f>
        <v>2.6100000000000002E-2</v>
      </c>
      <c r="J76">
        <f>C76-D76-F76-E76</f>
        <v>230</v>
      </c>
      <c r="K76" s="3">
        <v>4.4000000000000004E-2</v>
      </c>
      <c r="L76" s="3">
        <v>0.16900000000000001</v>
      </c>
      <c r="M76" s="3">
        <f t="shared" si="4"/>
        <v>1.0000000000000009E-2</v>
      </c>
      <c r="N76">
        <v>0.43</v>
      </c>
      <c r="O76" s="42">
        <v>0.08</v>
      </c>
      <c r="P76" s="49"/>
      <c r="Q76" s="56"/>
      <c r="S76" s="42"/>
      <c r="T76" s="42"/>
    </row>
    <row r="77" spans="1:20">
      <c r="A77" t="s">
        <v>82</v>
      </c>
      <c r="B77">
        <v>8</v>
      </c>
      <c r="C77">
        <f>C24</f>
        <v>261</v>
      </c>
      <c r="D77">
        <v>28</v>
      </c>
      <c r="E77">
        <v>0</v>
      </c>
      <c r="F77">
        <v>7</v>
      </c>
      <c r="G77" s="51">
        <f t="shared" si="7"/>
        <v>0.12389380530973451</v>
      </c>
      <c r="H77" s="51">
        <f t="shared" si="14"/>
        <v>0</v>
      </c>
      <c r="I77" s="51">
        <f t="shared" si="15"/>
        <v>3.1E-2</v>
      </c>
      <c r="J77" s="47">
        <f t="shared" si="16"/>
        <v>226</v>
      </c>
      <c r="K77" s="51">
        <v>4.4000000000000004E-2</v>
      </c>
      <c r="L77" s="51">
        <v>0.189</v>
      </c>
      <c r="M77" s="3">
        <f t="shared" si="4"/>
        <v>0.03</v>
      </c>
      <c r="N77">
        <v>0.38500000000000001</v>
      </c>
      <c r="O77" s="61">
        <v>0.08</v>
      </c>
      <c r="P77" s="49"/>
      <c r="Q77" s="56"/>
      <c r="S77" s="42"/>
      <c r="T77" s="42"/>
    </row>
    <row r="78" spans="1:20">
      <c r="A78" t="s">
        <v>245</v>
      </c>
      <c r="B78">
        <v>9</v>
      </c>
      <c r="C78">
        <f>C24</f>
        <v>261</v>
      </c>
      <c r="D78">
        <v>25</v>
      </c>
      <c r="E78">
        <v>10</v>
      </c>
      <c r="F78">
        <v>6</v>
      </c>
      <c r="G78" s="3">
        <f t="shared" si="7"/>
        <v>0.11363636363636363</v>
      </c>
      <c r="H78" s="3">
        <f t="shared" si="14"/>
        <v>4.5454545454545456E-2</v>
      </c>
      <c r="I78" s="3">
        <f t="shared" si="15"/>
        <v>2.7300000000000001E-2</v>
      </c>
      <c r="J78" s="47">
        <f t="shared" si="16"/>
        <v>220</v>
      </c>
      <c r="K78" s="3">
        <v>4.4000000000000004E-2</v>
      </c>
      <c r="L78" s="63" t="s">
        <v>231</v>
      </c>
      <c r="M78" s="3" t="e">
        <f t="shared" si="4"/>
        <v>#VALUE!</v>
      </c>
      <c r="N78">
        <v>0.4</v>
      </c>
      <c r="O78" s="3">
        <v>8.3299999999999999E-2</v>
      </c>
      <c r="P78" s="49"/>
      <c r="Q78" s="56"/>
      <c r="S78" s="42"/>
      <c r="T78" s="42"/>
    </row>
    <row r="79" spans="1:20">
      <c r="A79" t="s">
        <v>246</v>
      </c>
      <c r="B79">
        <v>9</v>
      </c>
      <c r="C79">
        <f>C78</f>
        <v>261</v>
      </c>
      <c r="D79">
        <v>25</v>
      </c>
      <c r="E79">
        <v>0</v>
      </c>
      <c r="F79">
        <v>6</v>
      </c>
      <c r="G79" s="3">
        <f>D79/(C79-D79-F79-E79)</f>
        <v>0.10869565217391304</v>
      </c>
      <c r="H79" s="3">
        <f>E79/(C79-D79-F79-E79)</f>
        <v>0</v>
      </c>
      <c r="I79" s="3">
        <f>ROUND((F79/(C79-D79-F79-E79)),4)</f>
        <v>2.6100000000000002E-2</v>
      </c>
      <c r="J79" s="47">
        <f>C79-D79-F79-E79</f>
        <v>230</v>
      </c>
      <c r="K79" s="3">
        <v>4.4000000000000004E-2</v>
      </c>
      <c r="L79" s="63" t="s">
        <v>231</v>
      </c>
      <c r="M79" s="3" t="e">
        <f t="shared" si="4"/>
        <v>#VALUE!</v>
      </c>
      <c r="N79">
        <v>0.4</v>
      </c>
      <c r="O79" s="3">
        <v>8.3299999999999999E-2</v>
      </c>
      <c r="P79" s="49"/>
      <c r="Q79" s="56"/>
      <c r="S79" s="42"/>
      <c r="T79" s="42"/>
    </row>
    <row r="80" spans="1:20">
      <c r="A80" t="s">
        <v>83</v>
      </c>
      <c r="B80">
        <v>9</v>
      </c>
      <c r="C80">
        <f>C24</f>
        <v>261</v>
      </c>
      <c r="D80">
        <v>20</v>
      </c>
      <c r="E80">
        <v>10</v>
      </c>
      <c r="F80">
        <v>6</v>
      </c>
      <c r="G80" s="3">
        <f t="shared" si="7"/>
        <v>8.8888888888888892E-2</v>
      </c>
      <c r="H80" s="3">
        <f t="shared" si="14"/>
        <v>4.4444444444444446E-2</v>
      </c>
      <c r="I80" s="3">
        <f t="shared" si="15"/>
        <v>2.6700000000000002E-2</v>
      </c>
      <c r="J80" s="47">
        <f t="shared" si="16"/>
        <v>225</v>
      </c>
      <c r="K80" s="3">
        <v>4.4000000000000004E-2</v>
      </c>
      <c r="L80" s="63" t="s">
        <v>231</v>
      </c>
      <c r="M80" s="3" t="e">
        <f t="shared" si="4"/>
        <v>#VALUE!</v>
      </c>
      <c r="N80">
        <v>0.4</v>
      </c>
      <c r="O80" s="42">
        <v>0.08</v>
      </c>
      <c r="P80" s="49"/>
      <c r="Q80" s="56"/>
      <c r="S80" s="42"/>
      <c r="T80" s="42"/>
    </row>
    <row r="81" spans="1:20">
      <c r="A81" t="s">
        <v>247</v>
      </c>
      <c r="B81">
        <v>9</v>
      </c>
      <c r="C81">
        <f>C80</f>
        <v>261</v>
      </c>
      <c r="D81">
        <v>20</v>
      </c>
      <c r="E81">
        <v>0</v>
      </c>
      <c r="F81">
        <v>6</v>
      </c>
      <c r="G81" s="3">
        <f>D81/(C81-D81-F81-E81)</f>
        <v>8.5106382978723402E-2</v>
      </c>
      <c r="H81" s="3">
        <f>E81/(C81-D81-F81-E81)</f>
        <v>0</v>
      </c>
      <c r="I81" s="3">
        <f>ROUND((F81/(C81-D81-F81-E81)),4)</f>
        <v>2.5499999999999998E-2</v>
      </c>
      <c r="J81" s="47">
        <f>C81-D81-F81-E81</f>
        <v>235</v>
      </c>
      <c r="K81" s="3">
        <v>4.4000000000000004E-2</v>
      </c>
      <c r="L81" s="63" t="s">
        <v>231</v>
      </c>
      <c r="M81" s="3" t="e">
        <f t="shared" si="4"/>
        <v>#VALUE!</v>
      </c>
      <c r="N81">
        <v>0.4</v>
      </c>
      <c r="O81" s="42">
        <v>0.08</v>
      </c>
      <c r="P81" s="49"/>
      <c r="Q81" s="56"/>
      <c r="S81" s="42"/>
      <c r="T81" s="42"/>
    </row>
    <row r="82" spans="1:20">
      <c r="A82" t="s">
        <v>84</v>
      </c>
      <c r="B82">
        <v>7</v>
      </c>
      <c r="C82">
        <f>C24</f>
        <v>261</v>
      </c>
      <c r="D82">
        <v>25</v>
      </c>
      <c r="E82">
        <v>0</v>
      </c>
      <c r="F82">
        <v>6</v>
      </c>
      <c r="G82" s="3">
        <f t="shared" si="7"/>
        <v>0.10869565217391304</v>
      </c>
      <c r="H82" s="3">
        <f t="shared" si="14"/>
        <v>0</v>
      </c>
      <c r="I82" s="3">
        <f t="shared" si="15"/>
        <v>2.6100000000000002E-2</v>
      </c>
      <c r="J82" s="47">
        <f t="shared" si="16"/>
        <v>230</v>
      </c>
      <c r="K82" s="3">
        <v>4.4000000000000004E-2</v>
      </c>
      <c r="L82" s="3">
        <v>0.17</v>
      </c>
      <c r="M82" s="3">
        <f t="shared" si="4"/>
        <v>1.100000000000001E-2</v>
      </c>
      <c r="N82">
        <v>0.38500000000000001</v>
      </c>
      <c r="O82" s="42">
        <v>0.08</v>
      </c>
      <c r="P82" s="49"/>
      <c r="Q82" s="56"/>
      <c r="S82" s="42"/>
      <c r="T82" s="42"/>
    </row>
    <row r="83" spans="1:20">
      <c r="A83" t="s">
        <v>85</v>
      </c>
      <c r="B83">
        <v>7</v>
      </c>
      <c r="C83">
        <f>C80</f>
        <v>261</v>
      </c>
      <c r="D83">
        <v>25</v>
      </c>
      <c r="E83">
        <v>20</v>
      </c>
      <c r="F83">
        <v>6</v>
      </c>
      <c r="G83" s="3">
        <f>D83/(C83-D83-F83-E83)</f>
        <v>0.11904761904761904</v>
      </c>
      <c r="H83" s="3">
        <f t="shared" si="14"/>
        <v>9.5238095238095233E-2</v>
      </c>
      <c r="I83" s="3">
        <f t="shared" si="15"/>
        <v>2.86E-2</v>
      </c>
      <c r="J83" s="47">
        <f t="shared" si="16"/>
        <v>210</v>
      </c>
      <c r="K83" s="3">
        <v>4.4000000000000004E-2</v>
      </c>
      <c r="L83" s="58">
        <v>0.13636899999999999</v>
      </c>
      <c r="M83" s="3">
        <f t="shared" si="4"/>
        <v>0</v>
      </c>
      <c r="N83">
        <v>0.4</v>
      </c>
      <c r="O83" s="42">
        <v>0.08</v>
      </c>
      <c r="P83" s="49"/>
      <c r="Q83" s="56"/>
      <c r="S83" s="42"/>
      <c r="T83" s="42"/>
    </row>
    <row r="84" spans="1:20">
      <c r="A84" t="s">
        <v>248</v>
      </c>
      <c r="B84">
        <v>7</v>
      </c>
      <c r="C84">
        <f>C81</f>
        <v>261</v>
      </c>
      <c r="D84">
        <v>25</v>
      </c>
      <c r="E84">
        <v>0</v>
      </c>
      <c r="F84">
        <v>6</v>
      </c>
      <c r="G84" s="3">
        <f>D84/(C84-D84-F84-E84)</f>
        <v>0.10869565217391304</v>
      </c>
      <c r="H84" s="3">
        <f t="shared" ref="H84:H89" si="17">E84/(C84-D84-F84-E84)</f>
        <v>0</v>
      </c>
      <c r="I84" s="3">
        <f>ROUND((F84/(C84-D84-F84-E84)),4)</f>
        <v>2.6100000000000002E-2</v>
      </c>
      <c r="J84" s="47">
        <f>C84-D84-F84-E84</f>
        <v>230</v>
      </c>
      <c r="K84" s="3">
        <v>4.4000000000000004E-2</v>
      </c>
      <c r="L84" s="58">
        <v>0.13636899999999999</v>
      </c>
      <c r="M84" s="3">
        <f t="shared" si="4"/>
        <v>0</v>
      </c>
      <c r="N84">
        <v>0.4</v>
      </c>
      <c r="O84" s="42">
        <v>0.08</v>
      </c>
      <c r="P84" s="49"/>
      <c r="Q84" s="56"/>
      <c r="S84" s="42"/>
      <c r="T84" s="42"/>
    </row>
    <row r="85" spans="1:20">
      <c r="A85" t="s">
        <v>302</v>
      </c>
      <c r="B85">
        <v>8</v>
      </c>
      <c r="C85">
        <f>C104</f>
        <v>261</v>
      </c>
      <c r="D85" s="47">
        <v>25</v>
      </c>
      <c r="E85">
        <v>0</v>
      </c>
      <c r="F85">
        <v>7</v>
      </c>
      <c r="G85" s="3">
        <f>D85/(C85-D85-F85-E85)</f>
        <v>0.1091703056768559</v>
      </c>
      <c r="H85" s="3">
        <f t="shared" si="17"/>
        <v>0</v>
      </c>
      <c r="I85" s="3">
        <f>ROUND((F85/(C85-D85-F85-E85)),4)</f>
        <v>3.0599999999999999E-2</v>
      </c>
      <c r="J85" s="47">
        <f>C85-D85-F85-E85</f>
        <v>229</v>
      </c>
      <c r="K85" s="3">
        <v>4.4000000000000004E-2</v>
      </c>
      <c r="L85" s="3">
        <v>0.16980000000000001</v>
      </c>
      <c r="M85" s="3">
        <f>IF((L85-15.9%)&gt;0,(L85-15.9%),0)</f>
        <v>1.0800000000000004E-2</v>
      </c>
      <c r="N85">
        <v>0.38500000000000001</v>
      </c>
      <c r="O85" s="42">
        <v>0.08</v>
      </c>
      <c r="P85" s="49"/>
      <c r="Q85" s="56"/>
      <c r="S85" s="42"/>
      <c r="T85" s="42"/>
    </row>
    <row r="86" spans="1:20">
      <c r="A86" t="s">
        <v>249</v>
      </c>
      <c r="B86">
        <v>8</v>
      </c>
      <c r="C86">
        <f>C82</f>
        <v>261</v>
      </c>
      <c r="D86">
        <v>25</v>
      </c>
      <c r="E86">
        <v>13</v>
      </c>
      <c r="F86">
        <v>7</v>
      </c>
      <c r="G86" s="3">
        <f>D86/(C86-D86-F86-E86)</f>
        <v>0.11574074074074074</v>
      </c>
      <c r="H86" s="3">
        <f t="shared" si="17"/>
        <v>6.0185185185185182E-2</v>
      </c>
      <c r="I86" s="3">
        <f>ROUND((F86/(C86-D86-F86-E86)),4)</f>
        <v>3.2399999999999998E-2</v>
      </c>
      <c r="J86" s="47">
        <f>C86-D86-F86-E86</f>
        <v>216</v>
      </c>
      <c r="K86" s="3">
        <v>4.4000000000000004E-2</v>
      </c>
      <c r="L86" s="3">
        <v>0.17699999999999999</v>
      </c>
      <c r="M86" s="3">
        <f t="shared" si="4"/>
        <v>1.7999999999999988E-2</v>
      </c>
      <c r="N86">
        <v>0.60699999999999998</v>
      </c>
      <c r="O86" s="3">
        <v>8.3299999999999999E-2</v>
      </c>
      <c r="P86" s="49"/>
      <c r="Q86" s="56"/>
      <c r="S86" s="42"/>
      <c r="T86" s="42"/>
    </row>
    <row r="87" spans="1:20">
      <c r="A87" t="s">
        <v>86</v>
      </c>
      <c r="B87">
        <v>8</v>
      </c>
      <c r="C87">
        <f>C83</f>
        <v>261</v>
      </c>
      <c r="D87">
        <v>24</v>
      </c>
      <c r="E87">
        <v>13</v>
      </c>
      <c r="F87">
        <v>7</v>
      </c>
      <c r="G87" s="3">
        <f t="shared" si="7"/>
        <v>0.11059907834101383</v>
      </c>
      <c r="H87" s="3">
        <f t="shared" si="17"/>
        <v>5.9907834101382486E-2</v>
      </c>
      <c r="I87" s="3">
        <f t="shared" si="15"/>
        <v>3.2300000000000002E-2</v>
      </c>
      <c r="J87" s="47">
        <f t="shared" si="16"/>
        <v>217</v>
      </c>
      <c r="K87" s="3">
        <v>4.4000000000000004E-2</v>
      </c>
      <c r="L87" s="3">
        <v>0.17699999999999999</v>
      </c>
      <c r="M87" s="3">
        <f t="shared" si="4"/>
        <v>1.7999999999999988E-2</v>
      </c>
      <c r="N87">
        <v>0.60699999999999998</v>
      </c>
      <c r="O87" s="42">
        <v>0.08</v>
      </c>
      <c r="P87" s="49"/>
      <c r="Q87" s="56"/>
      <c r="S87" s="42"/>
      <c r="T87" s="42"/>
    </row>
    <row r="88" spans="1:20">
      <c r="A88" t="s">
        <v>250</v>
      </c>
      <c r="B88">
        <v>8</v>
      </c>
      <c r="C88">
        <f>C24</f>
        <v>261</v>
      </c>
      <c r="D88">
        <v>25</v>
      </c>
      <c r="E88">
        <v>0</v>
      </c>
      <c r="F88">
        <v>7</v>
      </c>
      <c r="G88" s="3">
        <f t="shared" si="7"/>
        <v>0.1091703056768559</v>
      </c>
      <c r="H88" s="3">
        <f t="shared" si="17"/>
        <v>0</v>
      </c>
      <c r="I88" s="3">
        <f t="shared" si="15"/>
        <v>3.0599999999999999E-2</v>
      </c>
      <c r="J88" s="47">
        <f t="shared" si="16"/>
        <v>229</v>
      </c>
      <c r="K88" s="3">
        <v>4.4000000000000004E-2</v>
      </c>
      <c r="L88" s="3">
        <v>0.17699999999999999</v>
      </c>
      <c r="M88" s="3">
        <f t="shared" si="4"/>
        <v>1.7999999999999988E-2</v>
      </c>
      <c r="N88">
        <v>0.60699999999999998</v>
      </c>
      <c r="O88" s="3">
        <v>8.3299999999999999E-2</v>
      </c>
      <c r="P88" s="49"/>
      <c r="Q88" s="56"/>
      <c r="S88" s="42"/>
      <c r="T88" s="42"/>
    </row>
    <row r="89" spans="1:20">
      <c r="A89" t="s">
        <v>251</v>
      </c>
      <c r="B89">
        <v>8</v>
      </c>
      <c r="C89">
        <f>C24</f>
        <v>261</v>
      </c>
      <c r="D89">
        <v>24</v>
      </c>
      <c r="E89">
        <v>0</v>
      </c>
      <c r="F89">
        <v>7</v>
      </c>
      <c r="G89" s="3">
        <f t="shared" si="7"/>
        <v>0.10434782608695652</v>
      </c>
      <c r="H89" s="3">
        <f t="shared" si="17"/>
        <v>0</v>
      </c>
      <c r="I89" s="3">
        <f t="shared" si="15"/>
        <v>3.04E-2</v>
      </c>
      <c r="J89" s="47">
        <f t="shared" si="16"/>
        <v>230</v>
      </c>
      <c r="K89" s="3">
        <v>4.4000000000000004E-2</v>
      </c>
      <c r="L89" s="3">
        <v>0.17699999999999999</v>
      </c>
      <c r="M89" s="3">
        <f t="shared" si="4"/>
        <v>1.7999999999999988E-2</v>
      </c>
      <c r="N89">
        <v>0.60699999999999998</v>
      </c>
      <c r="O89" s="42">
        <v>0.08</v>
      </c>
      <c r="P89" s="49"/>
      <c r="Q89" s="56"/>
      <c r="S89" s="42"/>
      <c r="T89" s="42"/>
    </row>
    <row r="90" spans="1:20">
      <c r="A90" t="s">
        <v>87</v>
      </c>
      <c r="B90">
        <v>10</v>
      </c>
      <c r="C90">
        <f>C87</f>
        <v>261</v>
      </c>
      <c r="D90">
        <v>25</v>
      </c>
      <c r="E90">
        <v>0</v>
      </c>
      <c r="F90">
        <v>7</v>
      </c>
      <c r="G90" s="3">
        <f t="shared" si="7"/>
        <v>0.1091703056768559</v>
      </c>
      <c r="H90" s="3">
        <f t="shared" si="14"/>
        <v>0</v>
      </c>
      <c r="I90" s="3">
        <f t="shared" si="15"/>
        <v>3.0599999999999999E-2</v>
      </c>
      <c r="J90" s="47">
        <f t="shared" si="16"/>
        <v>229</v>
      </c>
      <c r="K90" s="3">
        <v>4.4000000000000004E-2</v>
      </c>
      <c r="L90" s="3">
        <v>0.13639999999999999</v>
      </c>
      <c r="M90" s="3">
        <f t="shared" si="4"/>
        <v>0</v>
      </c>
      <c r="N90">
        <v>0.38500000000000001</v>
      </c>
      <c r="O90" s="42">
        <v>0.08</v>
      </c>
      <c r="P90" s="49"/>
      <c r="Q90" s="56"/>
      <c r="S90" s="42"/>
      <c r="T90" s="42"/>
    </row>
    <row r="91" spans="1:20">
      <c r="A91" t="s">
        <v>88</v>
      </c>
      <c r="B91">
        <v>7</v>
      </c>
      <c r="C91">
        <f>C90</f>
        <v>261</v>
      </c>
      <c r="D91">
        <v>25</v>
      </c>
      <c r="E91">
        <v>0</v>
      </c>
      <c r="F91">
        <v>6</v>
      </c>
      <c r="G91" s="3">
        <f t="shared" si="7"/>
        <v>0.10869565217391304</v>
      </c>
      <c r="H91" s="3">
        <f t="shared" si="14"/>
        <v>0</v>
      </c>
      <c r="I91" s="3">
        <f t="shared" si="15"/>
        <v>2.6100000000000002E-2</v>
      </c>
      <c r="J91" s="47">
        <f t="shared" si="16"/>
        <v>230</v>
      </c>
      <c r="K91" s="3">
        <v>4.4000000000000004E-2</v>
      </c>
      <c r="L91" s="63" t="s">
        <v>231</v>
      </c>
      <c r="M91" s="3" t="e">
        <f t="shared" si="4"/>
        <v>#VALUE!</v>
      </c>
      <c r="N91">
        <v>0.38500000000000001</v>
      </c>
      <c r="O91" s="42">
        <v>0.08</v>
      </c>
      <c r="P91" s="49"/>
      <c r="Q91" s="56"/>
      <c r="S91" s="42"/>
      <c r="T91" s="42"/>
    </row>
    <row r="92" spans="1:20">
      <c r="A92" s="41" t="s">
        <v>252</v>
      </c>
      <c r="B92">
        <v>9</v>
      </c>
      <c r="C92">
        <v>261</v>
      </c>
      <c r="D92">
        <v>25</v>
      </c>
      <c r="E92">
        <v>0</v>
      </c>
      <c r="F92">
        <v>6</v>
      </c>
      <c r="G92" s="3">
        <f>D92/(C92-D92-F92-E92)</f>
        <v>0.10869565217391304</v>
      </c>
      <c r="H92" s="3">
        <f>E92/(C92-D92-F92-E92)</f>
        <v>0</v>
      </c>
      <c r="I92" s="3">
        <f>ROUND((F92/(C92-D92-F92-E92)),4)</f>
        <v>2.6100000000000002E-2</v>
      </c>
      <c r="J92">
        <f>C92-D92-F92-E92</f>
        <v>230</v>
      </c>
      <c r="K92" s="3">
        <v>4.4000000000000004E-2</v>
      </c>
      <c r="L92" s="3">
        <v>0.16139999999999999</v>
      </c>
      <c r="M92" s="3">
        <f t="shared" ref="M92:M107" si="18">IF((L92-15.9%)&gt;0,(L92-15.9%),0)</f>
        <v>2.3999999999999855E-3</v>
      </c>
      <c r="N92">
        <v>0.38500000000000001</v>
      </c>
      <c r="O92" s="3">
        <v>8.3299999999999999E-2</v>
      </c>
      <c r="P92" s="49"/>
      <c r="Q92" s="56"/>
      <c r="S92" s="42"/>
      <c r="T92" s="42"/>
    </row>
    <row r="93" spans="1:20">
      <c r="A93" s="41" t="s">
        <v>89</v>
      </c>
      <c r="B93">
        <v>9</v>
      </c>
      <c r="C93">
        <f>C24</f>
        <v>261</v>
      </c>
      <c r="D93">
        <v>24</v>
      </c>
      <c r="E93">
        <v>0</v>
      </c>
      <c r="F93">
        <v>6</v>
      </c>
      <c r="G93" s="51">
        <f t="shared" si="7"/>
        <v>0.1038961038961039</v>
      </c>
      <c r="H93" s="51">
        <f>E93/(C93-D93-F93-E93)</f>
        <v>0</v>
      </c>
      <c r="I93" s="51">
        <f>ROUND((F93/(C93-D93-F93-E93)),4)</f>
        <v>2.5999999999999999E-2</v>
      </c>
      <c r="J93">
        <f t="shared" si="16"/>
        <v>231</v>
      </c>
      <c r="K93" s="3">
        <v>4.4000000000000004E-2</v>
      </c>
      <c r="L93" s="3">
        <v>0.16139999999999999</v>
      </c>
      <c r="M93" s="3">
        <f t="shared" si="18"/>
        <v>2.3999999999999855E-3</v>
      </c>
      <c r="N93">
        <v>0.38500000000000001</v>
      </c>
      <c r="O93" s="42">
        <v>0.08</v>
      </c>
      <c r="P93" s="49"/>
      <c r="Q93" s="56"/>
      <c r="S93" s="42"/>
      <c r="T93" s="42"/>
    </row>
    <row r="94" spans="1:20">
      <c r="A94" s="41" t="s">
        <v>90</v>
      </c>
      <c r="B94">
        <v>10</v>
      </c>
      <c r="C94">
        <v>261</v>
      </c>
      <c r="D94" s="47">
        <f>201/7.2</f>
        <v>27.916666666666664</v>
      </c>
      <c r="E94">
        <v>0</v>
      </c>
      <c r="F94">
        <v>7</v>
      </c>
      <c r="G94" s="3">
        <f>D94/(C94-D94-F94-E94)</f>
        <v>0.12347954294139328</v>
      </c>
      <c r="H94" s="3">
        <f t="shared" ref="H94:H107" si="19">E94/(C94-D94-F94-E94)</f>
        <v>0</v>
      </c>
      <c r="I94" s="3">
        <f t="shared" ref="I94:I107" si="20">ROUND((F94/(C94-D94-F94-E94)),4)</f>
        <v>3.1E-2</v>
      </c>
      <c r="J94" s="47">
        <f>C94-D94-F94-E94</f>
        <v>226.08333333333334</v>
      </c>
      <c r="K94" s="3">
        <v>4.4000000000000004E-2</v>
      </c>
      <c r="L94" s="3">
        <v>0.1295</v>
      </c>
      <c r="M94" s="3">
        <f t="shared" si="18"/>
        <v>0</v>
      </c>
      <c r="N94">
        <v>0.38500000000000001</v>
      </c>
      <c r="O94" s="3">
        <v>8.3299999999999999E-2</v>
      </c>
      <c r="P94" s="49"/>
      <c r="Q94" s="56"/>
      <c r="S94" s="42"/>
      <c r="T94" s="42"/>
    </row>
    <row r="95" spans="1:20">
      <c r="A95" s="41" t="s">
        <v>253</v>
      </c>
      <c r="B95">
        <v>7</v>
      </c>
      <c r="C95">
        <f>C24</f>
        <v>261</v>
      </c>
      <c r="D95">
        <v>25</v>
      </c>
      <c r="E95">
        <v>23</v>
      </c>
      <c r="F95">
        <v>6</v>
      </c>
      <c r="G95" s="3">
        <f t="shared" si="7"/>
        <v>0.12077294685990338</v>
      </c>
      <c r="H95" s="3">
        <f t="shared" si="19"/>
        <v>0.1111111111111111</v>
      </c>
      <c r="I95" s="3">
        <f t="shared" si="20"/>
        <v>2.9000000000000001E-2</v>
      </c>
      <c r="J95" s="47">
        <f t="shared" si="16"/>
        <v>207</v>
      </c>
      <c r="K95" s="3">
        <v>4.4000000000000004E-2</v>
      </c>
      <c r="L95" s="3">
        <v>0.13300000000000001</v>
      </c>
      <c r="M95" s="3">
        <f t="shared" si="18"/>
        <v>0</v>
      </c>
      <c r="N95">
        <v>0.43</v>
      </c>
      <c r="O95" s="3">
        <v>8.3299999999999999E-2</v>
      </c>
      <c r="P95" s="49"/>
      <c r="Q95" s="56"/>
      <c r="S95" s="42"/>
      <c r="T95" s="42"/>
    </row>
    <row r="96" spans="1:20">
      <c r="A96" s="41" t="s">
        <v>254</v>
      </c>
      <c r="B96">
        <v>7</v>
      </c>
      <c r="C96">
        <f>C95</f>
        <v>261</v>
      </c>
      <c r="D96">
        <v>25</v>
      </c>
      <c r="E96">
        <v>0</v>
      </c>
      <c r="F96">
        <v>6</v>
      </c>
      <c r="G96" s="3">
        <f>D96/(C96-D96-F96-E96)</f>
        <v>0.10869565217391304</v>
      </c>
      <c r="H96" s="3">
        <f>E96/(C96-D96-F96-E96)</f>
        <v>0</v>
      </c>
      <c r="I96" s="3">
        <f>ROUND((F96/(C96-D96-F96-E96)),4)</f>
        <v>2.6100000000000002E-2</v>
      </c>
      <c r="J96" s="47">
        <f>C96-D96-F96-E96</f>
        <v>230</v>
      </c>
      <c r="K96" s="3">
        <v>4.4000000000000004E-2</v>
      </c>
      <c r="L96" s="3">
        <v>0.13300000000000001</v>
      </c>
      <c r="M96" s="3">
        <f t="shared" si="18"/>
        <v>0</v>
      </c>
      <c r="N96">
        <v>0.43</v>
      </c>
      <c r="O96" s="3">
        <v>8.3299999999999999E-2</v>
      </c>
      <c r="P96" s="49"/>
      <c r="Q96" s="56"/>
      <c r="S96" s="42"/>
      <c r="T96" s="42"/>
    </row>
    <row r="97" spans="1:20">
      <c r="A97" s="41" t="s">
        <v>91</v>
      </c>
      <c r="B97">
        <v>7</v>
      </c>
      <c r="C97">
        <f>C24</f>
        <v>261</v>
      </c>
      <c r="D97">
        <v>24</v>
      </c>
      <c r="E97">
        <v>23</v>
      </c>
      <c r="F97">
        <v>6</v>
      </c>
      <c r="G97" s="3">
        <f t="shared" si="7"/>
        <v>0.11538461538461539</v>
      </c>
      <c r="H97" s="3">
        <f t="shared" si="19"/>
        <v>0.11057692307692307</v>
      </c>
      <c r="I97" s="3">
        <f t="shared" si="20"/>
        <v>2.8799999999999999E-2</v>
      </c>
      <c r="J97" s="47">
        <f t="shared" si="16"/>
        <v>208</v>
      </c>
      <c r="K97" s="3">
        <v>4.4000000000000004E-2</v>
      </c>
      <c r="L97" s="3">
        <v>0.13300000000000001</v>
      </c>
      <c r="M97" s="3">
        <f t="shared" si="18"/>
        <v>0</v>
      </c>
      <c r="N97">
        <v>0.43</v>
      </c>
      <c r="O97" s="42">
        <v>0.08</v>
      </c>
      <c r="P97" s="49"/>
      <c r="Q97" s="56"/>
      <c r="S97" s="42"/>
      <c r="T97" s="42"/>
    </row>
    <row r="98" spans="1:20">
      <c r="A98" s="41" t="s">
        <v>255</v>
      </c>
      <c r="B98">
        <v>7</v>
      </c>
      <c r="C98">
        <f>C97</f>
        <v>261</v>
      </c>
      <c r="D98">
        <v>24</v>
      </c>
      <c r="E98">
        <v>0</v>
      </c>
      <c r="F98">
        <v>6</v>
      </c>
      <c r="G98" s="3">
        <f>D98/(C98-D98-F98-E98)</f>
        <v>0.1038961038961039</v>
      </c>
      <c r="H98" s="3">
        <f>E98/(C98-D98-F98-E98)</f>
        <v>0</v>
      </c>
      <c r="I98" s="3">
        <f>ROUND((F98/(C98-D98-F98-E98)),4)</f>
        <v>2.5999999999999999E-2</v>
      </c>
      <c r="J98" s="47">
        <f>C98-D98-F98-E98</f>
        <v>231</v>
      </c>
      <c r="K98" s="3">
        <v>4.4000000000000004E-2</v>
      </c>
      <c r="L98" s="3">
        <v>0.13300000000000001</v>
      </c>
      <c r="M98" s="3">
        <f t="shared" si="18"/>
        <v>0</v>
      </c>
      <c r="N98">
        <v>0.43</v>
      </c>
      <c r="O98" s="42">
        <v>0.08</v>
      </c>
      <c r="P98" s="49"/>
      <c r="Q98" s="56"/>
      <c r="S98" s="42"/>
      <c r="T98" s="42"/>
    </row>
    <row r="99" spans="1:20">
      <c r="A99" s="41" t="s">
        <v>92</v>
      </c>
      <c r="B99">
        <v>7</v>
      </c>
      <c r="C99">
        <f>C97</f>
        <v>261</v>
      </c>
      <c r="D99">
        <v>25</v>
      </c>
      <c r="E99">
        <v>0</v>
      </c>
      <c r="F99">
        <v>6</v>
      </c>
      <c r="G99" s="51">
        <f t="shared" ref="G99:G107" si="21">D99/(C99-D99-F99-E99)</f>
        <v>0.10869565217391304</v>
      </c>
      <c r="H99" s="3">
        <f t="shared" si="19"/>
        <v>0</v>
      </c>
      <c r="I99" s="3">
        <f t="shared" si="20"/>
        <v>2.6100000000000002E-2</v>
      </c>
      <c r="J99" s="47">
        <f t="shared" ref="J99:J107" si="22">C99-D99-F99-E99</f>
        <v>230</v>
      </c>
      <c r="K99" s="3">
        <v>4.4000000000000004E-2</v>
      </c>
      <c r="L99" s="3">
        <v>0.19089999999999999</v>
      </c>
      <c r="M99" s="3">
        <f t="shared" si="18"/>
        <v>3.1899999999999984E-2</v>
      </c>
      <c r="N99">
        <v>0.38500000000000001</v>
      </c>
      <c r="O99" s="3">
        <v>8.2500000000000004E-2</v>
      </c>
      <c r="P99" s="49"/>
      <c r="Q99" s="56"/>
      <c r="S99" s="42"/>
      <c r="T99" s="42"/>
    </row>
    <row r="100" spans="1:20">
      <c r="A100" s="41" t="s">
        <v>93</v>
      </c>
      <c r="B100">
        <v>8</v>
      </c>
      <c r="C100">
        <f>C99</f>
        <v>261</v>
      </c>
      <c r="D100" s="29">
        <f>210/7.2</f>
        <v>29.166666666666664</v>
      </c>
      <c r="E100">
        <v>0</v>
      </c>
      <c r="F100">
        <v>7</v>
      </c>
      <c r="G100" s="51">
        <f t="shared" si="21"/>
        <v>0.12972572275759819</v>
      </c>
      <c r="H100" s="51">
        <f t="shared" si="19"/>
        <v>0</v>
      </c>
      <c r="I100" s="51">
        <f t="shared" si="20"/>
        <v>3.1099999999999999E-2</v>
      </c>
      <c r="J100" s="47">
        <f t="shared" si="22"/>
        <v>224.83333333333334</v>
      </c>
      <c r="K100" s="3">
        <v>4.4000000000000004E-2</v>
      </c>
      <c r="L100" s="3">
        <v>0.13150000000000001</v>
      </c>
      <c r="M100" s="3">
        <f t="shared" si="18"/>
        <v>0</v>
      </c>
      <c r="N100">
        <v>0.38500000000000001</v>
      </c>
      <c r="O100" s="42">
        <v>0.08</v>
      </c>
      <c r="P100" s="49"/>
      <c r="Q100" s="56"/>
      <c r="S100" s="42"/>
      <c r="T100" s="42"/>
    </row>
    <row r="101" spans="1:20">
      <c r="A101" s="41" t="s">
        <v>256</v>
      </c>
      <c r="B101">
        <v>5</v>
      </c>
      <c r="C101">
        <f>C99</f>
        <v>261</v>
      </c>
      <c r="D101">
        <v>25</v>
      </c>
      <c r="E101">
        <v>0</v>
      </c>
      <c r="F101">
        <v>4</v>
      </c>
      <c r="G101" s="51">
        <f t="shared" si="21"/>
        <v>0.10775862068965517</v>
      </c>
      <c r="H101" s="3">
        <f t="shared" si="19"/>
        <v>0</v>
      </c>
      <c r="I101" s="3">
        <f t="shared" si="20"/>
        <v>1.72E-2</v>
      </c>
      <c r="J101" s="47">
        <f t="shared" si="22"/>
        <v>232</v>
      </c>
      <c r="K101" s="3">
        <v>4.4000000000000004E-2</v>
      </c>
      <c r="L101" s="3">
        <v>0.16139999999999999</v>
      </c>
      <c r="M101" s="3">
        <f t="shared" si="18"/>
        <v>2.3999999999999855E-3</v>
      </c>
      <c r="N101">
        <v>0.38500000000000001</v>
      </c>
      <c r="O101" s="42">
        <v>0.08</v>
      </c>
      <c r="P101" s="49"/>
      <c r="Q101" s="56"/>
      <c r="S101" s="42"/>
      <c r="T101" s="42"/>
    </row>
    <row r="102" spans="1:20">
      <c r="A102" s="41" t="s">
        <v>94</v>
      </c>
      <c r="B102">
        <v>5</v>
      </c>
      <c r="C102">
        <f>C100</f>
        <v>261</v>
      </c>
      <c r="D102">
        <v>24</v>
      </c>
      <c r="E102">
        <v>0</v>
      </c>
      <c r="F102">
        <v>4</v>
      </c>
      <c r="G102" s="51">
        <f t="shared" si="21"/>
        <v>0.10300429184549356</v>
      </c>
      <c r="H102" s="3">
        <f t="shared" si="19"/>
        <v>0</v>
      </c>
      <c r="I102" s="3">
        <f t="shared" si="20"/>
        <v>1.72E-2</v>
      </c>
      <c r="J102" s="47">
        <f t="shared" si="22"/>
        <v>233</v>
      </c>
      <c r="K102" s="3">
        <v>4.4000000000000004E-2</v>
      </c>
      <c r="L102" s="3">
        <v>0.16139999999999999</v>
      </c>
      <c r="M102" s="3">
        <f t="shared" si="18"/>
        <v>2.3999999999999855E-3</v>
      </c>
      <c r="N102">
        <v>0.38500000000000001</v>
      </c>
      <c r="O102" s="42">
        <v>0.08</v>
      </c>
      <c r="P102" s="49"/>
      <c r="Q102" s="56"/>
      <c r="S102" s="42"/>
      <c r="T102" s="42"/>
    </row>
    <row r="103" spans="1:20">
      <c r="A103" s="41" t="s">
        <v>95</v>
      </c>
      <c r="B103">
        <v>9</v>
      </c>
      <c r="C103">
        <f>C102</f>
        <v>261</v>
      </c>
      <c r="D103" s="47">
        <v>25</v>
      </c>
      <c r="E103">
        <v>0</v>
      </c>
      <c r="F103">
        <v>6</v>
      </c>
      <c r="G103" s="51">
        <f t="shared" si="21"/>
        <v>0.10869565217391304</v>
      </c>
      <c r="H103" s="3">
        <f t="shared" si="19"/>
        <v>0</v>
      </c>
      <c r="I103" s="3">
        <f t="shared" si="20"/>
        <v>2.6100000000000002E-2</v>
      </c>
      <c r="J103" s="47">
        <f t="shared" si="22"/>
        <v>230</v>
      </c>
      <c r="K103" s="3">
        <v>4.4000000000000004E-2</v>
      </c>
      <c r="L103" s="3">
        <v>0.1157</v>
      </c>
      <c r="M103" s="3">
        <f t="shared" si="18"/>
        <v>0</v>
      </c>
      <c r="N103">
        <v>0.38500000000000001</v>
      </c>
      <c r="O103" s="42">
        <v>0.08</v>
      </c>
      <c r="P103" s="49"/>
      <c r="Q103" s="56"/>
      <c r="S103" s="42"/>
      <c r="T103" s="42"/>
    </row>
    <row r="104" spans="1:20">
      <c r="A104" s="41" t="s">
        <v>96</v>
      </c>
      <c r="B104">
        <v>8</v>
      </c>
      <c r="C104">
        <f>C103</f>
        <v>261</v>
      </c>
      <c r="D104" s="47">
        <f>(144+57)/7.2</f>
        <v>27.916666666666664</v>
      </c>
      <c r="E104">
        <v>0</v>
      </c>
      <c r="F104">
        <v>7</v>
      </c>
      <c r="G104" s="3">
        <f t="shared" si="21"/>
        <v>0.12347954294139328</v>
      </c>
      <c r="H104" s="3">
        <f t="shared" si="19"/>
        <v>0</v>
      </c>
      <c r="I104" s="3">
        <f t="shared" si="20"/>
        <v>3.1E-2</v>
      </c>
      <c r="J104" s="47">
        <f t="shared" si="22"/>
        <v>226.08333333333334</v>
      </c>
      <c r="K104" s="3">
        <v>4.4000000000000004E-2</v>
      </c>
      <c r="L104" s="3">
        <v>0.1295</v>
      </c>
      <c r="M104" s="3">
        <f t="shared" si="18"/>
        <v>0</v>
      </c>
      <c r="N104" s="50"/>
      <c r="O104" s="42">
        <v>0.08</v>
      </c>
      <c r="P104" s="49"/>
      <c r="Q104" s="56"/>
      <c r="S104" s="42"/>
      <c r="T104" s="42"/>
    </row>
    <row r="105" spans="1:20">
      <c r="A105" t="s">
        <v>257</v>
      </c>
      <c r="B105">
        <v>9</v>
      </c>
      <c r="C105">
        <f>C104</f>
        <v>261</v>
      </c>
      <c r="D105" s="47">
        <v>25</v>
      </c>
      <c r="E105">
        <v>0</v>
      </c>
      <c r="F105">
        <v>6</v>
      </c>
      <c r="G105" s="3">
        <f t="shared" si="21"/>
        <v>0.10869565217391304</v>
      </c>
      <c r="H105" s="3">
        <f t="shared" si="19"/>
        <v>0</v>
      </c>
      <c r="I105" s="3">
        <f t="shared" si="20"/>
        <v>2.6100000000000002E-2</v>
      </c>
      <c r="J105" s="47">
        <f t="shared" si="22"/>
        <v>230</v>
      </c>
      <c r="K105" s="3">
        <v>3.6999999999999998E-2</v>
      </c>
      <c r="L105" s="63" t="s">
        <v>231</v>
      </c>
      <c r="M105" s="3" t="e">
        <f t="shared" si="18"/>
        <v>#VALUE!</v>
      </c>
      <c r="N105">
        <v>0.38500000000000001</v>
      </c>
      <c r="O105" s="42">
        <v>8.3299999999999999E-2</v>
      </c>
      <c r="P105" s="49"/>
      <c r="Q105" s="56"/>
      <c r="S105" s="48">
        <f>SUM(G105:I105)+0.006</f>
        <v>0.14079565217391304</v>
      </c>
      <c r="T105" s="42"/>
    </row>
    <row r="106" spans="1:20">
      <c r="A106" t="s">
        <v>258</v>
      </c>
      <c r="B106">
        <v>9</v>
      </c>
      <c r="C106">
        <f>C104</f>
        <v>261</v>
      </c>
      <c r="D106" s="47">
        <v>22</v>
      </c>
      <c r="E106">
        <v>0</v>
      </c>
      <c r="F106">
        <v>6</v>
      </c>
      <c r="G106" s="3">
        <f>D106/(C106-D106-F106-E106)</f>
        <v>9.4420600858369105E-2</v>
      </c>
      <c r="H106" s="3">
        <f>E106/(C106-D106-F106-E106)</f>
        <v>0</v>
      </c>
      <c r="I106" s="3">
        <f>ROUND((F106/(C106-D106-F106-E106)),4)</f>
        <v>2.58E-2</v>
      </c>
      <c r="J106" s="47">
        <f>C106-D106-F106-E106</f>
        <v>233</v>
      </c>
      <c r="K106" s="3">
        <v>3.6999999999999998E-2</v>
      </c>
      <c r="L106" s="63" t="s">
        <v>231</v>
      </c>
      <c r="M106" s="3" t="e">
        <f t="shared" si="18"/>
        <v>#VALUE!</v>
      </c>
      <c r="N106">
        <v>0.38500000000000001</v>
      </c>
      <c r="O106" s="42">
        <v>0.08</v>
      </c>
      <c r="P106" s="49"/>
      <c r="Q106" s="56"/>
      <c r="S106" s="48">
        <f>SUM(G106:I106)+0.006</f>
        <v>0.12622060085836911</v>
      </c>
      <c r="T106" s="42"/>
    </row>
    <row r="107" spans="1:20">
      <c r="A107" t="s">
        <v>259</v>
      </c>
      <c r="B107">
        <v>9</v>
      </c>
      <c r="C107">
        <f>C104</f>
        <v>261</v>
      </c>
      <c r="D107" s="47">
        <v>26</v>
      </c>
      <c r="E107">
        <v>0</v>
      </c>
      <c r="F107">
        <v>6</v>
      </c>
      <c r="G107" s="3">
        <f t="shared" si="21"/>
        <v>0.11353711790393013</v>
      </c>
      <c r="H107" s="3">
        <f t="shared" si="19"/>
        <v>0</v>
      </c>
      <c r="I107" s="3">
        <f t="shared" si="20"/>
        <v>2.6200000000000001E-2</v>
      </c>
      <c r="J107" s="47">
        <f t="shared" si="22"/>
        <v>229</v>
      </c>
      <c r="K107" s="3">
        <v>4.4000000000000004E-2</v>
      </c>
      <c r="L107" s="3">
        <v>0.17130000000000001</v>
      </c>
      <c r="M107" s="3">
        <f t="shared" si="18"/>
        <v>1.2300000000000005E-2</v>
      </c>
      <c r="N107">
        <v>0.38500000000000001</v>
      </c>
      <c r="O107" s="42">
        <v>0.08</v>
      </c>
      <c r="P107" s="49"/>
      <c r="Q107" s="56"/>
      <c r="S107" s="48">
        <f>SUM(G107:I107)+0.006</f>
        <v>0.14573711790393012</v>
      </c>
      <c r="T107" s="42"/>
    </row>
    <row r="108" spans="1:20">
      <c r="G108" s="3"/>
      <c r="H108" s="3"/>
      <c r="I108" s="3"/>
      <c r="J108" s="47"/>
      <c r="O108" s="42"/>
      <c r="P108" s="49"/>
      <c r="Q108" s="56"/>
    </row>
    <row r="111" spans="1:20">
      <c r="A111" t="s">
        <v>260</v>
      </c>
      <c r="B111" s="30"/>
      <c r="C111" s="30"/>
    </row>
    <row r="112" spans="1:20">
      <c r="A112" s="5" t="s">
        <v>2</v>
      </c>
      <c r="B112" s="33">
        <v>2025</v>
      </c>
      <c r="C112" s="33">
        <v>2026</v>
      </c>
    </row>
    <row r="113" spans="1:3">
      <c r="A113" t="s">
        <v>32</v>
      </c>
      <c r="B113" s="30">
        <v>10.92</v>
      </c>
      <c r="C113" s="30" t="s">
        <v>261</v>
      </c>
    </row>
    <row r="114" spans="1:3">
      <c r="A114" t="s">
        <v>39</v>
      </c>
      <c r="B114" s="30">
        <v>3.06</v>
      </c>
      <c r="C114" s="30" t="s">
        <v>261</v>
      </c>
    </row>
    <row r="115" spans="1:3">
      <c r="A115" t="s">
        <v>35</v>
      </c>
      <c r="B115" s="30">
        <v>8.33</v>
      </c>
      <c r="C115" s="30" t="s">
        <v>261</v>
      </c>
    </row>
    <row r="116" spans="1:3">
      <c r="A116" t="s">
        <v>262</v>
      </c>
      <c r="B116" s="30">
        <v>6.51</v>
      </c>
      <c r="C116" s="31">
        <v>6.1</v>
      </c>
    </row>
    <row r="117" spans="1:3">
      <c r="A117" t="s">
        <v>263</v>
      </c>
      <c r="B117" s="30">
        <v>7.74</v>
      </c>
      <c r="C117" s="30">
        <v>7.74</v>
      </c>
    </row>
    <row r="118" spans="1:3">
      <c r="A118" t="s">
        <v>264</v>
      </c>
      <c r="B118" s="30">
        <v>8.14</v>
      </c>
      <c r="C118" s="30">
        <v>8.11</v>
      </c>
    </row>
    <row r="119" spans="1:3">
      <c r="A119" t="s">
        <v>265</v>
      </c>
      <c r="B119" s="30">
        <v>4.3600000000000003</v>
      </c>
      <c r="C119" s="31" t="e">
        <f>#REF!</f>
        <v>#REF!</v>
      </c>
    </row>
    <row r="120" spans="1:3">
      <c r="A120" t="s">
        <v>266</v>
      </c>
      <c r="B120" s="30">
        <v>3.6</v>
      </c>
      <c r="C120" s="30" t="s">
        <v>267</v>
      </c>
    </row>
    <row r="121" spans="1:3">
      <c r="A121" t="s">
        <v>268</v>
      </c>
      <c r="B121" s="30">
        <v>0.38</v>
      </c>
      <c r="C121" s="31">
        <v>0.59499999999999997</v>
      </c>
    </row>
    <row r="122" spans="1:3">
      <c r="A122" t="s">
        <v>269</v>
      </c>
      <c r="B122" s="30">
        <v>1.02</v>
      </c>
      <c r="C122" s="30" t="s">
        <v>270</v>
      </c>
    </row>
    <row r="123" spans="1:3">
      <c r="A123" t="s">
        <v>271</v>
      </c>
      <c r="B123" s="30">
        <v>0.1</v>
      </c>
      <c r="C123" s="30" t="s">
        <v>261</v>
      </c>
    </row>
    <row r="124" spans="1:3">
      <c r="A124" t="s">
        <v>272</v>
      </c>
      <c r="B124" s="30">
        <v>3.65</v>
      </c>
      <c r="C124" s="30">
        <v>3.95</v>
      </c>
    </row>
    <row r="125" spans="1:3">
      <c r="B125" s="30"/>
      <c r="C125" s="30"/>
    </row>
    <row r="126" spans="1:3">
      <c r="B126" s="30"/>
      <c r="C126" s="30"/>
    </row>
    <row r="127" spans="1:3">
      <c r="A127" s="5" t="s">
        <v>207</v>
      </c>
      <c r="B127" s="33">
        <v>2025</v>
      </c>
      <c r="C127" s="33">
        <v>2026</v>
      </c>
    </row>
    <row r="128" spans="1:3">
      <c r="A128" t="s">
        <v>32</v>
      </c>
      <c r="B128" s="30">
        <v>10.92</v>
      </c>
      <c r="C128" s="30" t="s">
        <v>261</v>
      </c>
    </row>
    <row r="129" spans="1:3">
      <c r="A129" t="s">
        <v>39</v>
      </c>
      <c r="B129" s="30">
        <v>3.06</v>
      </c>
      <c r="C129" s="30" t="s">
        <v>261</v>
      </c>
    </row>
    <row r="130" spans="1:3">
      <c r="A130" t="s">
        <v>35</v>
      </c>
      <c r="B130" s="30">
        <v>8.33</v>
      </c>
      <c r="C130" s="30" t="s">
        <v>261</v>
      </c>
    </row>
    <row r="131" spans="1:3">
      <c r="A131" t="s">
        <v>262</v>
      </c>
      <c r="B131" s="30">
        <v>6.51</v>
      </c>
      <c r="C131" s="31">
        <v>6.1</v>
      </c>
    </row>
    <row r="132" spans="1:3">
      <c r="A132" t="s">
        <v>263</v>
      </c>
      <c r="B132" s="30">
        <v>7.74</v>
      </c>
      <c r="C132" s="30">
        <v>7.74</v>
      </c>
    </row>
    <row r="133" spans="1:3">
      <c r="A133" t="s">
        <v>264</v>
      </c>
      <c r="B133" s="30">
        <v>8.14</v>
      </c>
      <c r="C133" s="30">
        <v>8.11</v>
      </c>
    </row>
    <row r="134" spans="1:3">
      <c r="A134" t="s">
        <v>265</v>
      </c>
      <c r="B134" s="30">
        <v>4.57</v>
      </c>
      <c r="C134" s="31" t="e">
        <f>#REF!</f>
        <v>#REF!</v>
      </c>
    </row>
    <row r="135" spans="1:3">
      <c r="A135" t="s">
        <v>266</v>
      </c>
      <c r="B135" s="30">
        <v>6.8</v>
      </c>
      <c r="C135" s="30" t="s">
        <v>267</v>
      </c>
    </row>
    <row r="136" spans="1:3">
      <c r="A136" t="s">
        <v>268</v>
      </c>
      <c r="B136" s="30">
        <v>0.38</v>
      </c>
      <c r="C136" s="31">
        <v>0.245</v>
      </c>
    </row>
    <row r="137" spans="1:3">
      <c r="A137" t="s">
        <v>269</v>
      </c>
      <c r="B137" s="30">
        <v>1.02</v>
      </c>
      <c r="C137" s="30" t="s">
        <v>270</v>
      </c>
    </row>
    <row r="138" spans="1:3">
      <c r="A138" t="s">
        <v>271</v>
      </c>
      <c r="B138" s="30">
        <v>0.1</v>
      </c>
      <c r="C138" s="30" t="s">
        <v>261</v>
      </c>
    </row>
    <row r="139" spans="1:3">
      <c r="A139" t="s">
        <v>272</v>
      </c>
      <c r="B139" s="30">
        <v>3.65</v>
      </c>
      <c r="C139" s="30">
        <v>3.95</v>
      </c>
    </row>
    <row r="140" spans="1:3">
      <c r="B140" s="30"/>
      <c r="C140" s="30"/>
    </row>
    <row r="141" spans="1:3">
      <c r="B141" s="30"/>
      <c r="C141" s="30"/>
    </row>
    <row r="142" spans="1:3">
      <c r="A142" s="5" t="s">
        <v>24</v>
      </c>
      <c r="B142" s="33">
        <v>2025</v>
      </c>
      <c r="C142" s="33">
        <v>2026</v>
      </c>
    </row>
    <row r="143" spans="1:3">
      <c r="A143" t="s">
        <v>32</v>
      </c>
      <c r="B143" s="30">
        <v>10.92</v>
      </c>
      <c r="C143" s="30" t="s">
        <v>261</v>
      </c>
    </row>
    <row r="144" spans="1:3">
      <c r="A144" t="s">
        <v>39</v>
      </c>
      <c r="B144" s="30">
        <v>3.06</v>
      </c>
      <c r="C144" s="30" t="s">
        <v>261</v>
      </c>
    </row>
    <row r="145" spans="1:3">
      <c r="A145" t="s">
        <v>35</v>
      </c>
      <c r="B145" s="30">
        <v>8.33</v>
      </c>
      <c r="C145" s="30" t="s">
        <v>261</v>
      </c>
    </row>
    <row r="146" spans="1:3">
      <c r="A146" t="s">
        <v>262</v>
      </c>
      <c r="B146" s="30">
        <v>6.51</v>
      </c>
      <c r="C146" s="31">
        <v>6.1</v>
      </c>
    </row>
    <row r="147" spans="1:3">
      <c r="A147" t="s">
        <v>263</v>
      </c>
      <c r="B147" s="30">
        <v>2.74</v>
      </c>
      <c r="C147" s="30">
        <v>7.74</v>
      </c>
    </row>
    <row r="148" spans="1:3">
      <c r="A148" t="s">
        <v>264</v>
      </c>
      <c r="B148" s="30">
        <v>8.14</v>
      </c>
      <c r="C148" s="30">
        <v>8.11</v>
      </c>
    </row>
    <row r="149" spans="1:3">
      <c r="A149" t="s">
        <v>265</v>
      </c>
      <c r="B149" s="30">
        <v>4.57</v>
      </c>
      <c r="C149" s="31" t="e">
        <f>#REF!</f>
        <v>#REF!</v>
      </c>
    </row>
    <row r="150" spans="1:3">
      <c r="A150" t="s">
        <v>266</v>
      </c>
      <c r="B150" s="30">
        <v>7.2</v>
      </c>
      <c r="C150" s="30" t="s">
        <v>267</v>
      </c>
    </row>
    <row r="151" spans="1:3">
      <c r="A151" t="s">
        <v>268</v>
      </c>
      <c r="B151" s="30">
        <v>0.28000000000000003</v>
      </c>
      <c r="C151" s="31">
        <v>0.105</v>
      </c>
    </row>
    <row r="152" spans="1:3">
      <c r="A152" t="s">
        <v>269</v>
      </c>
      <c r="B152" s="30">
        <v>1.02</v>
      </c>
      <c r="C152" s="30" t="s">
        <v>270</v>
      </c>
    </row>
    <row r="153" spans="1:3">
      <c r="A153" t="s">
        <v>271</v>
      </c>
      <c r="B153" s="30">
        <v>0.1</v>
      </c>
      <c r="C153" s="30" t="s">
        <v>261</v>
      </c>
    </row>
    <row r="154" spans="1:3">
      <c r="A154" t="s">
        <v>272</v>
      </c>
      <c r="B154" s="30">
        <v>3.65</v>
      </c>
      <c r="C154" s="30">
        <v>3.95</v>
      </c>
    </row>
    <row r="157" spans="1:3">
      <c r="A157" s="5" t="s">
        <v>25</v>
      </c>
      <c r="B157" s="33">
        <v>2025</v>
      </c>
      <c r="C157" s="33">
        <v>2026</v>
      </c>
    </row>
    <row r="158" spans="1:3">
      <c r="A158" t="s">
        <v>32</v>
      </c>
      <c r="B158" s="30">
        <v>10.92</v>
      </c>
      <c r="C158" s="30" t="s">
        <v>261</v>
      </c>
    </row>
    <row r="159" spans="1:3">
      <c r="A159" t="s">
        <v>39</v>
      </c>
      <c r="B159" s="30">
        <v>3.06</v>
      </c>
      <c r="C159" s="30" t="s">
        <v>261</v>
      </c>
    </row>
    <row r="160" spans="1:3">
      <c r="A160" t="s">
        <v>35</v>
      </c>
      <c r="B160" s="30">
        <v>8.33</v>
      </c>
      <c r="C160" s="30" t="s">
        <v>261</v>
      </c>
    </row>
    <row r="161" spans="1:8">
      <c r="A161" t="s">
        <v>262</v>
      </c>
      <c r="B161" s="30">
        <v>6.51</v>
      </c>
      <c r="C161" s="31">
        <v>6.1</v>
      </c>
    </row>
    <row r="162" spans="1:8">
      <c r="A162" t="s">
        <v>263</v>
      </c>
      <c r="B162" s="30">
        <v>7.74</v>
      </c>
      <c r="C162" s="30">
        <v>7.74</v>
      </c>
    </row>
    <row r="163" spans="1:8">
      <c r="A163" t="s">
        <v>264</v>
      </c>
      <c r="B163" s="30">
        <v>8.14</v>
      </c>
      <c r="C163" s="30">
        <v>8.11</v>
      </c>
    </row>
    <row r="164" spans="1:8">
      <c r="A164" t="s">
        <v>265</v>
      </c>
      <c r="B164" s="30">
        <v>4.57</v>
      </c>
      <c r="C164" s="31" t="e">
        <f>#REF!</f>
        <v>#REF!</v>
      </c>
    </row>
    <row r="165" spans="1:8">
      <c r="A165" t="s">
        <v>266</v>
      </c>
      <c r="B165" s="30">
        <v>6.8</v>
      </c>
      <c r="C165" s="30" t="s">
        <v>267</v>
      </c>
    </row>
    <row r="166" spans="1:8">
      <c r="A166" t="s">
        <v>268</v>
      </c>
      <c r="B166" s="30">
        <v>0.38</v>
      </c>
      <c r="C166" s="31">
        <v>0.245</v>
      </c>
    </row>
    <row r="167" spans="1:8">
      <c r="A167" t="s">
        <v>269</v>
      </c>
      <c r="B167" s="30">
        <v>1.02</v>
      </c>
      <c r="C167" s="30" t="s">
        <v>270</v>
      </c>
    </row>
    <row r="168" spans="1:8">
      <c r="A168" t="s">
        <v>271</v>
      </c>
      <c r="B168" s="30">
        <v>0.1</v>
      </c>
      <c r="C168" s="30" t="s">
        <v>261</v>
      </c>
    </row>
    <row r="169" spans="1:8">
      <c r="A169" t="s">
        <v>272</v>
      </c>
      <c r="B169" s="30">
        <v>3.65</v>
      </c>
      <c r="C169" s="30">
        <v>3.95</v>
      </c>
    </row>
    <row r="174" spans="1:8" ht="18">
      <c r="A174" s="45" t="s">
        <v>273</v>
      </c>
      <c r="B174">
        <v>2021</v>
      </c>
      <c r="C174">
        <v>2022</v>
      </c>
      <c r="D174">
        <v>2023</v>
      </c>
      <c r="E174">
        <v>2024</v>
      </c>
      <c r="F174">
        <v>2025</v>
      </c>
      <c r="G174">
        <v>2026</v>
      </c>
    </row>
    <row r="175" spans="1:8">
      <c r="A175" t="s">
        <v>274</v>
      </c>
      <c r="B175">
        <v>7.01</v>
      </c>
      <c r="C175">
        <v>7.13</v>
      </c>
      <c r="D175">
        <v>7.86</v>
      </c>
      <c r="E175">
        <v>8.4499999999999993</v>
      </c>
      <c r="F175">
        <v>8.9</v>
      </c>
      <c r="G175" s="75">
        <v>9.34</v>
      </c>
    </row>
    <row r="176" spans="1:8">
      <c r="A176" t="s">
        <v>275</v>
      </c>
      <c r="C176" s="3">
        <f>((C175-B175)/B175)</f>
        <v>1.7118402282453652E-2</v>
      </c>
      <c r="D176" s="3">
        <f>((D175-C175)/C175)</f>
        <v>0.10238429172510526</v>
      </c>
      <c r="E176" s="3">
        <f>((E175-D175)/D175)</f>
        <v>7.5063613231552029E-2</v>
      </c>
      <c r="F176" s="3">
        <f>((F175-E175)/E175)</f>
        <v>5.3254437869822618E-2</v>
      </c>
      <c r="G176" s="3">
        <f>((G175-F175)/F175)</f>
        <v>4.9438202247190956E-2</v>
      </c>
      <c r="H176" s="3"/>
    </row>
    <row r="177" spans="1:8">
      <c r="A177" t="s">
        <v>313</v>
      </c>
      <c r="C177" s="3"/>
      <c r="D177" s="3"/>
      <c r="E177" s="3"/>
      <c r="F177" s="3"/>
      <c r="G177" s="76">
        <v>0.85299999999999998</v>
      </c>
      <c r="H177" s="3"/>
    </row>
    <row r="179" spans="1:8" ht="18">
      <c r="A179" s="45" t="s">
        <v>276</v>
      </c>
    </row>
    <row r="180" spans="1:8">
      <c r="A180" t="s">
        <v>274</v>
      </c>
      <c r="F180" s="34">
        <f>18475/52/40</f>
        <v>8.8822115384615383</v>
      </c>
      <c r="G180" s="34">
        <f>F180*1.035</f>
        <v>9.1930889423076909</v>
      </c>
    </row>
    <row r="181" spans="1:8">
      <c r="A181" t="s">
        <v>277</v>
      </c>
      <c r="G181" s="58">
        <v>0.163632</v>
      </c>
    </row>
    <row r="182" spans="1:8">
      <c r="A182" t="s">
        <v>278</v>
      </c>
      <c r="G182" s="58">
        <v>1E-3</v>
      </c>
    </row>
    <row r="183" spans="1:8">
      <c r="A183" t="s">
        <v>279</v>
      </c>
      <c r="G183" s="58">
        <v>0.15104799999999999</v>
      </c>
    </row>
    <row r="184" spans="1:8">
      <c r="A184" t="s">
        <v>278</v>
      </c>
      <c r="G184" s="58">
        <v>1E-3</v>
      </c>
    </row>
    <row r="185" spans="1:8">
      <c r="G185" s="58"/>
    </row>
    <row r="186" spans="1:8">
      <c r="G186" s="58"/>
    </row>
  </sheetData>
  <sheetProtection algorithmName="SHA-512" hashValue="LclWGNxDl/MCrN5avY7g0kqvPeGeABZw+3DaVd+DmmqcOiBcL4L24+Jp7vROxpd2Rx+3EsKoMd8t3uAV8JpmNQ==" saltValue="2y83O9nOcNsyL8OmldyD4w==" spinCount="100000" sheet="1" selectLockedCells="1" selectUnlockedCells="1"/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3EF9B-334D-4CD3-BBAE-5F2F53A9FE82}">
  <dimension ref="A1:AM37"/>
  <sheetViews>
    <sheetView workbookViewId="0"/>
  </sheetViews>
  <sheetFormatPr defaultColWidth="8.6640625" defaultRowHeight="14.4"/>
  <cols>
    <col min="1" max="1" width="46.33203125" bestFit="1" customWidth="1"/>
    <col min="4" max="4" width="11" bestFit="1" customWidth="1"/>
    <col min="5" max="5" width="7.6640625" customWidth="1"/>
    <col min="9" max="9" width="3.33203125" customWidth="1"/>
    <col min="10" max="11" width="9.109375" customWidth="1"/>
    <col min="12" max="12" width="3.33203125" customWidth="1"/>
    <col min="16" max="16" width="3.33203125" customWidth="1"/>
    <col min="19" max="19" width="3.33203125" customWidth="1"/>
    <col min="23" max="23" width="3.33203125" customWidth="1"/>
    <col min="26" max="26" width="3.33203125" customWidth="1"/>
    <col min="30" max="30" width="3.33203125" customWidth="1"/>
    <col min="33" max="33" width="3.33203125" customWidth="1"/>
    <col min="37" max="37" width="3.33203125" customWidth="1"/>
  </cols>
  <sheetData>
    <row r="1" spans="1:39" ht="15">
      <c r="B1" s="84">
        <v>2025</v>
      </c>
      <c r="C1" s="84"/>
      <c r="D1" s="84"/>
      <c r="F1" s="84" t="s">
        <v>280</v>
      </c>
      <c r="G1" s="84"/>
      <c r="H1" s="84"/>
      <c r="I1" s="21"/>
      <c r="J1" s="21"/>
      <c r="K1" s="21"/>
      <c r="M1" s="84">
        <v>2026</v>
      </c>
      <c r="N1" s="84"/>
      <c r="O1" s="84"/>
      <c r="P1" s="43"/>
      <c r="Q1" s="43"/>
      <c r="R1" s="43"/>
      <c r="T1" s="84" t="s">
        <v>281</v>
      </c>
      <c r="U1" s="84"/>
      <c r="V1" s="84"/>
      <c r="W1" s="43"/>
      <c r="X1" s="43"/>
      <c r="Y1" s="43"/>
      <c r="AA1" s="84" t="s">
        <v>282</v>
      </c>
      <c r="AB1" s="84"/>
      <c r="AC1" s="84"/>
      <c r="AD1" s="43"/>
      <c r="AE1" s="43"/>
      <c r="AF1" s="43"/>
      <c r="AG1" s="32"/>
      <c r="AH1" s="84" t="s">
        <v>283</v>
      </c>
      <c r="AI1" s="84"/>
      <c r="AJ1" s="84"/>
      <c r="AK1" s="43"/>
      <c r="AL1" s="43"/>
      <c r="AM1" s="43"/>
    </row>
    <row r="2" spans="1:39" ht="15">
      <c r="B2" s="8"/>
      <c r="C2" s="8"/>
      <c r="D2" s="8"/>
    </row>
    <row r="3" spans="1:39" ht="15">
      <c r="A3" s="9" t="s">
        <v>284</v>
      </c>
      <c r="B3" s="10"/>
      <c r="C3" s="16">
        <v>100</v>
      </c>
      <c r="D3" s="11"/>
      <c r="G3" s="16">
        <v>100</v>
      </c>
      <c r="H3" s="11"/>
      <c r="I3" s="11"/>
      <c r="J3" s="16" t="e">
        <f>Basis!#REF!</f>
        <v>#REF!</v>
      </c>
      <c r="K3" s="11"/>
      <c r="N3" s="16">
        <v>100</v>
      </c>
      <c r="O3" s="11"/>
      <c r="Q3" s="16" t="e">
        <f>Basis!#REF!</f>
        <v>#REF!</v>
      </c>
      <c r="R3" s="11"/>
      <c r="U3" s="16">
        <v>100</v>
      </c>
      <c r="V3" s="11"/>
      <c r="X3" s="16" t="e">
        <f>Basis!#REF!</f>
        <v>#REF!</v>
      </c>
      <c r="Y3" s="11"/>
      <c r="AB3" s="16">
        <v>100</v>
      </c>
      <c r="AC3" s="11"/>
      <c r="AE3" s="16" t="e">
        <f>Basis!#REF!</f>
        <v>#REF!</v>
      </c>
      <c r="AF3" s="11"/>
      <c r="AI3" s="16">
        <v>100</v>
      </c>
      <c r="AJ3" s="11"/>
      <c r="AL3" s="16" t="e">
        <f>Basis!#REF!</f>
        <v>#REF!</v>
      </c>
      <c r="AM3" s="11"/>
    </row>
    <row r="4" spans="1:39" ht="15">
      <c r="A4" s="8" t="s">
        <v>285</v>
      </c>
      <c r="B4" s="10"/>
      <c r="C4" s="12">
        <v>0</v>
      </c>
      <c r="D4" s="11"/>
      <c r="G4" s="12">
        <v>0</v>
      </c>
      <c r="H4" s="11"/>
      <c r="I4" s="11"/>
      <c r="J4" s="12">
        <v>0</v>
      </c>
      <c r="K4" s="11"/>
      <c r="N4" s="12">
        <v>0</v>
      </c>
      <c r="O4" s="11"/>
      <c r="Q4" s="12">
        <v>0</v>
      </c>
      <c r="R4" s="11"/>
      <c r="U4" s="12">
        <v>0</v>
      </c>
      <c r="V4" s="11"/>
      <c r="X4" s="12">
        <v>0</v>
      </c>
      <c r="Y4" s="11"/>
      <c r="AB4" s="12">
        <v>0</v>
      </c>
      <c r="AC4" s="11"/>
      <c r="AE4" s="12">
        <v>0</v>
      </c>
      <c r="AF4" s="11"/>
      <c r="AI4" s="12">
        <v>0</v>
      </c>
      <c r="AJ4" s="11"/>
      <c r="AL4" s="12">
        <v>0</v>
      </c>
      <c r="AM4" s="11"/>
    </row>
    <row r="5" spans="1:39" ht="15">
      <c r="A5" s="8"/>
      <c r="B5" s="10"/>
      <c r="C5" s="11">
        <v>100</v>
      </c>
      <c r="D5" s="11">
        <f>SUM(C5)</f>
        <v>100</v>
      </c>
      <c r="G5" s="11">
        <v>100</v>
      </c>
      <c r="H5" s="11">
        <f>SUM(G5)</f>
        <v>100</v>
      </c>
      <c r="I5" s="11"/>
      <c r="J5" s="11" t="e">
        <f>SUM(J3:J4)</f>
        <v>#REF!</v>
      </c>
      <c r="K5" s="11" t="e">
        <f>SUM(J5)</f>
        <v>#REF!</v>
      </c>
      <c r="N5" s="11">
        <v>100</v>
      </c>
      <c r="O5" s="11">
        <f>SUM(N5)</f>
        <v>100</v>
      </c>
      <c r="Q5" s="11" t="e">
        <f>SUM(Q3:Q4)</f>
        <v>#REF!</v>
      </c>
      <c r="R5" s="11" t="e">
        <f>SUM(Q5)</f>
        <v>#REF!</v>
      </c>
      <c r="U5" s="11">
        <v>100</v>
      </c>
      <c r="V5" s="11">
        <f>SUM(U5)</f>
        <v>100</v>
      </c>
      <c r="X5" s="11" t="e">
        <f>SUM(X3:X4)</f>
        <v>#REF!</v>
      </c>
      <c r="Y5" s="11" t="e">
        <f>SUM(X5)</f>
        <v>#REF!</v>
      </c>
      <c r="AB5" s="11">
        <v>100</v>
      </c>
      <c r="AC5" s="11">
        <f>SUM(AB5)</f>
        <v>100</v>
      </c>
      <c r="AE5" s="11" t="e">
        <f>SUM(AE3:AE4)</f>
        <v>#REF!</v>
      </c>
      <c r="AF5" s="11" t="e">
        <f>SUM(AE5)</f>
        <v>#REF!</v>
      </c>
      <c r="AI5" s="11">
        <v>100</v>
      </c>
      <c r="AJ5" s="11">
        <f>SUM(AI5)</f>
        <v>100</v>
      </c>
      <c r="AL5" s="11" t="e">
        <f>SUM(AL3:AL4)</f>
        <v>#REF!</v>
      </c>
      <c r="AM5" s="11" t="e">
        <f>SUM(AL5)</f>
        <v>#REF!</v>
      </c>
    </row>
    <row r="6" spans="1:39" ht="15">
      <c r="A6" s="13" t="s">
        <v>31</v>
      </c>
      <c r="B6" s="10"/>
      <c r="C6" s="11"/>
      <c r="D6" s="11"/>
      <c r="G6" s="11"/>
      <c r="H6" s="11"/>
      <c r="I6" s="11"/>
      <c r="J6" s="11"/>
      <c r="K6" s="11"/>
      <c r="N6" s="11"/>
      <c r="O6" s="11"/>
      <c r="Q6" s="11"/>
      <c r="R6" s="11"/>
      <c r="U6" s="11"/>
      <c r="V6" s="11"/>
      <c r="X6" s="11"/>
      <c r="Y6" s="11"/>
      <c r="AB6" s="11"/>
      <c r="AC6" s="11"/>
      <c r="AE6" s="11"/>
      <c r="AF6" s="11"/>
      <c r="AI6" s="11"/>
      <c r="AJ6" s="11"/>
      <c r="AL6" s="11"/>
      <c r="AM6" s="11"/>
    </row>
    <row r="7" spans="1:39" ht="15">
      <c r="A7" s="8" t="s">
        <v>286</v>
      </c>
      <c r="B7" s="10"/>
      <c r="C7" s="11">
        <v>10.92</v>
      </c>
      <c r="D7" s="11"/>
      <c r="G7" s="19">
        <f>Basis!$G$99*100</f>
        <v>10.869565217391305</v>
      </c>
      <c r="H7" s="11"/>
      <c r="I7" s="11"/>
      <c r="J7" s="19" t="e">
        <f>$K$5*(G7/100)</f>
        <v>#REF!</v>
      </c>
      <c r="K7" s="11"/>
      <c r="N7" s="19">
        <f>Basis!$G$99*100</f>
        <v>10.869565217391305</v>
      </c>
      <c r="O7" s="11"/>
      <c r="Q7" s="19" t="e">
        <f>$R$5*(N7/100)</f>
        <v>#REF!</v>
      </c>
      <c r="R7" s="11"/>
      <c r="U7" s="19">
        <f>Basis!$G$99*100</f>
        <v>10.869565217391305</v>
      </c>
      <c r="V7" s="11"/>
      <c r="X7" s="19" t="e">
        <f>$Y$5*(U7/100)</f>
        <v>#REF!</v>
      </c>
      <c r="Y7" s="11"/>
      <c r="AB7" s="19">
        <f>Basis!$G$99*100</f>
        <v>10.869565217391305</v>
      </c>
      <c r="AC7" s="11"/>
      <c r="AE7" s="19" t="e">
        <f>$AF$5*(AB7/100)</f>
        <v>#REF!</v>
      </c>
      <c r="AF7" s="11"/>
      <c r="AI7" s="19">
        <f>Basis!$G$99*100</f>
        <v>10.869565217391305</v>
      </c>
      <c r="AJ7" s="11"/>
      <c r="AL7" s="19" t="e">
        <f>$AM$5*(AI7/100)</f>
        <v>#REF!</v>
      </c>
      <c r="AM7" s="11"/>
    </row>
    <row r="8" spans="1:39" ht="15">
      <c r="A8" s="8" t="s">
        <v>287</v>
      </c>
      <c r="B8" s="10"/>
      <c r="C8" s="11">
        <v>0</v>
      </c>
      <c r="D8" s="11"/>
      <c r="G8" s="19">
        <f>Basis!$H$99*100</f>
        <v>0</v>
      </c>
      <c r="H8" s="11"/>
      <c r="I8" s="11"/>
      <c r="J8" s="19" t="e">
        <f>$K$5*(G8/100)</f>
        <v>#REF!</v>
      </c>
      <c r="K8" s="11"/>
      <c r="N8" s="19">
        <f>Basis!$H$99*100</f>
        <v>0</v>
      </c>
      <c r="O8" s="11"/>
      <c r="P8" s="11"/>
      <c r="Q8" s="19" t="e">
        <f>$R$5*(N8/100)</f>
        <v>#REF!</v>
      </c>
      <c r="R8" s="11"/>
      <c r="U8" s="19">
        <f>Basis!$H$99*100</f>
        <v>0</v>
      </c>
      <c r="V8" s="11"/>
      <c r="W8" s="11"/>
      <c r="X8" s="19" t="e">
        <f>$Y$5*(U8/100)</f>
        <v>#REF!</v>
      </c>
      <c r="Y8" s="11"/>
      <c r="AB8" s="19">
        <f>Basis!$H$99*100</f>
        <v>0</v>
      </c>
      <c r="AC8" s="11"/>
      <c r="AD8" s="11"/>
      <c r="AE8" s="19" t="e">
        <f>$AF$5*(AB8/100)</f>
        <v>#REF!</v>
      </c>
      <c r="AF8" s="11"/>
      <c r="AI8" s="19">
        <f>Basis!$H$99*100</f>
        <v>0</v>
      </c>
      <c r="AJ8" s="11"/>
      <c r="AK8" s="11"/>
      <c r="AL8" s="19" t="e">
        <f>$AM$5*(AI8/100)</f>
        <v>#REF!</v>
      </c>
      <c r="AM8" s="11"/>
    </row>
    <row r="9" spans="1:39" ht="15">
      <c r="A9" s="8" t="s">
        <v>301</v>
      </c>
      <c r="B9" s="10"/>
      <c r="C9" s="11">
        <v>3.06</v>
      </c>
      <c r="D9" s="11"/>
      <c r="G9" s="19">
        <f>Basis!$I$99*100</f>
        <v>2.6100000000000003</v>
      </c>
      <c r="H9" s="11"/>
      <c r="I9" s="11"/>
      <c r="J9" s="19" t="e">
        <f>$K$5*(G9/100)</f>
        <v>#REF!</v>
      </c>
      <c r="K9" s="11"/>
      <c r="N9" s="19">
        <f>Basis!$I$99*100</f>
        <v>2.6100000000000003</v>
      </c>
      <c r="O9" s="11"/>
      <c r="Q9" s="19" t="e">
        <f>$R$5*(N9/100)</f>
        <v>#REF!</v>
      </c>
      <c r="R9" s="11"/>
      <c r="U9" s="19">
        <f>Basis!$I$99*100</f>
        <v>2.6100000000000003</v>
      </c>
      <c r="V9" s="11"/>
      <c r="X9" s="19" t="e">
        <f>$Y$5*(U9/100)</f>
        <v>#REF!</v>
      </c>
      <c r="Y9" s="11"/>
      <c r="AB9" s="19">
        <f>Basis!$I$99*100</f>
        <v>2.6100000000000003</v>
      </c>
      <c r="AC9" s="11"/>
      <c r="AE9" s="19" t="e">
        <f>$AF$5*(AB9/100)</f>
        <v>#REF!</v>
      </c>
      <c r="AF9" s="11"/>
      <c r="AI9" s="19">
        <f>Basis!$I$99*100</f>
        <v>2.6100000000000003</v>
      </c>
      <c r="AJ9" s="11"/>
      <c r="AL9" s="19" t="e">
        <f>$AM$5*(AI9/100)</f>
        <v>#REF!</v>
      </c>
      <c r="AM9" s="11"/>
    </row>
    <row r="10" spans="1:39" ht="15">
      <c r="A10" s="8" t="s">
        <v>288</v>
      </c>
      <c r="B10" s="10"/>
      <c r="C10" s="14">
        <v>0.6</v>
      </c>
      <c r="D10" s="11"/>
      <c r="G10" s="46" t="e">
        <f>Basis!#REF!</f>
        <v>#REF!</v>
      </c>
      <c r="H10" s="11"/>
      <c r="I10" s="11"/>
      <c r="J10" s="46" t="e">
        <f>$K$5*(G10/100)</f>
        <v>#REF!</v>
      </c>
      <c r="K10" s="11"/>
      <c r="N10" s="46" t="e">
        <f>Basis!#REF!</f>
        <v>#REF!</v>
      </c>
      <c r="O10" s="11"/>
      <c r="Q10" s="46" t="e">
        <f>$R$5*(N10/100)</f>
        <v>#REF!</v>
      </c>
      <c r="R10" s="11"/>
      <c r="U10" s="46" t="e">
        <f>Basis!#REF!</f>
        <v>#REF!</v>
      </c>
      <c r="V10" s="11"/>
      <c r="X10" s="46" t="e">
        <f>$Y$5*(U10/100)</f>
        <v>#REF!</v>
      </c>
      <c r="Y10" s="11"/>
      <c r="AB10" s="46" t="e">
        <f>Basis!#REF!</f>
        <v>#REF!</v>
      </c>
      <c r="AC10" s="11"/>
      <c r="AE10" s="46" t="e">
        <f>$AF$5*(AB10/100)</f>
        <v>#REF!</v>
      </c>
      <c r="AF10" s="11"/>
      <c r="AI10" s="46" t="e">
        <f>Basis!#REF!</f>
        <v>#REF!</v>
      </c>
      <c r="AJ10" s="11"/>
      <c r="AL10" s="46" t="e">
        <f>$AM$5*(AI10/100)</f>
        <v>#REF!</v>
      </c>
      <c r="AM10" s="11"/>
    </row>
    <row r="11" spans="1:39" ht="15">
      <c r="A11" s="8"/>
      <c r="B11" s="10"/>
      <c r="C11" s="11">
        <v>14.58</v>
      </c>
      <c r="D11" s="11">
        <f>((C11/100)*D5)+D5</f>
        <v>114.58</v>
      </c>
      <c r="G11" s="11" t="e">
        <f>SUM(G7:G10)</f>
        <v>#REF!</v>
      </c>
      <c r="H11" s="11" t="e">
        <f>((G11/100)*H5)+H5</f>
        <v>#REF!</v>
      </c>
      <c r="I11" s="11"/>
      <c r="J11" s="11" t="e">
        <f>SUM(J7:J10)</f>
        <v>#REF!</v>
      </c>
      <c r="K11" s="11" t="e">
        <f>K5+J11</f>
        <v>#REF!</v>
      </c>
      <c r="N11" s="11" t="e">
        <f>SUM(N7:N10)</f>
        <v>#REF!</v>
      </c>
      <c r="O11" s="11" t="e">
        <f>((N11/100)*O5)+O5</f>
        <v>#REF!</v>
      </c>
      <c r="Q11" s="11" t="e">
        <f>SUM(Q7:Q10)</f>
        <v>#REF!</v>
      </c>
      <c r="R11" s="11" t="e">
        <f>R5+Q11</f>
        <v>#REF!</v>
      </c>
      <c r="U11" s="11" t="e">
        <f>SUM(U7:U10)</f>
        <v>#REF!</v>
      </c>
      <c r="V11" s="11" t="e">
        <f>((U11/100)*V5)+V5</f>
        <v>#REF!</v>
      </c>
      <c r="X11" s="11" t="e">
        <f>SUM(X7:X10)</f>
        <v>#REF!</v>
      </c>
      <c r="Y11" s="11" t="e">
        <f>Y5+X11</f>
        <v>#REF!</v>
      </c>
      <c r="AB11" s="11" t="e">
        <f>SUM(AB7:AB10)</f>
        <v>#REF!</v>
      </c>
      <c r="AC11" s="11" t="e">
        <f>((AB11/100)*AC5)+AC5</f>
        <v>#REF!</v>
      </c>
      <c r="AE11" s="11" t="e">
        <f>SUM(AE7:AE10)</f>
        <v>#REF!</v>
      </c>
      <c r="AF11" s="11" t="e">
        <f>AF5+AE11</f>
        <v>#REF!</v>
      </c>
      <c r="AI11" s="11" t="e">
        <f>SUM(AI7:AI10)</f>
        <v>#REF!</v>
      </c>
      <c r="AJ11" s="11" t="e">
        <f>((AI11/100)*AJ5)+AJ5</f>
        <v>#REF!</v>
      </c>
      <c r="AL11" s="11" t="e">
        <f>SUM(AL7:AL10)</f>
        <v>#REF!</v>
      </c>
      <c r="AM11" s="11" t="e">
        <f>AM5+AL11</f>
        <v>#REF!</v>
      </c>
    </row>
    <row r="12" spans="1:39" ht="15">
      <c r="A12" s="13" t="s">
        <v>289</v>
      </c>
      <c r="B12" s="10"/>
      <c r="C12" s="15"/>
      <c r="D12" s="11"/>
      <c r="G12" s="15"/>
      <c r="H12" s="11"/>
      <c r="I12" s="11"/>
      <c r="J12" s="15"/>
      <c r="K12" s="11"/>
      <c r="N12" s="15"/>
      <c r="O12" s="11"/>
      <c r="Q12" s="15"/>
      <c r="R12" s="11"/>
      <c r="U12" s="15"/>
      <c r="V12" s="11"/>
      <c r="X12" s="15"/>
      <c r="Y12" s="11"/>
      <c r="AB12" s="15"/>
      <c r="AC12" s="11"/>
      <c r="AE12" s="15"/>
      <c r="AF12" s="11"/>
      <c r="AI12" s="15"/>
      <c r="AJ12" s="11"/>
      <c r="AL12" s="15"/>
      <c r="AM12" s="11"/>
    </row>
    <row r="13" spans="1:39" ht="15">
      <c r="A13" s="8" t="s">
        <v>35</v>
      </c>
      <c r="B13" s="10"/>
      <c r="C13" s="16">
        <v>8.33</v>
      </c>
      <c r="D13" s="11">
        <f>((C13/100)*D11)+D11</f>
        <v>124.124514</v>
      </c>
      <c r="G13" s="16">
        <v>8.33</v>
      </c>
      <c r="H13" s="11" t="e">
        <f>((G13/100)*H11)+H11</f>
        <v>#REF!</v>
      </c>
      <c r="I13" s="11"/>
      <c r="J13" s="16" t="e">
        <f>K11*(G13/100)</f>
        <v>#REF!</v>
      </c>
      <c r="K13" s="11" t="e">
        <f>K11+J13</f>
        <v>#REF!</v>
      </c>
      <c r="N13" s="20">
        <v>8.25</v>
      </c>
      <c r="O13" s="11" t="e">
        <f>((N13/100)*O11)+O11</f>
        <v>#REF!</v>
      </c>
      <c r="Q13" s="16" t="e">
        <f>R11*(N13/100)</f>
        <v>#REF!</v>
      </c>
      <c r="R13" s="11" t="e">
        <f>R11+Q13</f>
        <v>#REF!</v>
      </c>
      <c r="U13" s="11">
        <f>N13</f>
        <v>8.25</v>
      </c>
      <c r="V13" s="11" t="e">
        <f>((U13/100)*V11)+V11</f>
        <v>#REF!</v>
      </c>
      <c r="X13" s="16" t="e">
        <f>Y11*(U13/100)</f>
        <v>#REF!</v>
      </c>
      <c r="Y13" s="11" t="e">
        <f>Y11+X13</f>
        <v>#REF!</v>
      </c>
      <c r="AB13" s="16">
        <f>U13</f>
        <v>8.25</v>
      </c>
      <c r="AC13" s="11" t="e">
        <f>((AB13/100)*AC11)+AC11</f>
        <v>#REF!</v>
      </c>
      <c r="AE13" s="16" t="e">
        <f>AF11*(AB13/100)</f>
        <v>#REF!</v>
      </c>
      <c r="AF13" s="11" t="e">
        <f>AF11+AE13</f>
        <v>#REF!</v>
      </c>
      <c r="AI13" s="16">
        <f>AB13</f>
        <v>8.25</v>
      </c>
      <c r="AJ13" s="11" t="e">
        <f>((AI13/100)*AJ11)+AJ11</f>
        <v>#REF!</v>
      </c>
      <c r="AL13" s="16" t="e">
        <f>AM11*(AI13/100)</f>
        <v>#REF!</v>
      </c>
      <c r="AM13" s="11" t="e">
        <f>AM11+AL13</f>
        <v>#REF!</v>
      </c>
    </row>
    <row r="14" spans="1:39" ht="15">
      <c r="A14" s="8"/>
      <c r="B14" s="10"/>
      <c r="C14" s="11"/>
      <c r="D14" s="11"/>
      <c r="G14" s="11"/>
      <c r="H14" s="11"/>
      <c r="I14" s="11"/>
      <c r="J14" s="11"/>
      <c r="K14" s="11"/>
      <c r="N14" s="11"/>
      <c r="O14" s="11"/>
      <c r="Q14" s="11"/>
      <c r="R14" s="11"/>
      <c r="U14" s="11"/>
      <c r="V14" s="11"/>
      <c r="X14" s="11"/>
      <c r="Y14" s="11"/>
      <c r="AB14" s="11"/>
      <c r="AC14" s="11"/>
      <c r="AE14" s="11"/>
      <c r="AF14" s="11"/>
      <c r="AI14" s="11"/>
      <c r="AJ14" s="11"/>
      <c r="AL14" s="11"/>
      <c r="AM14" s="11"/>
    </row>
    <row r="15" spans="1:39" ht="15">
      <c r="A15" s="13" t="s">
        <v>290</v>
      </c>
      <c r="B15" s="10"/>
      <c r="C15" s="11"/>
      <c r="D15" s="11"/>
      <c r="G15" s="11"/>
      <c r="H15" s="11"/>
      <c r="I15" s="11"/>
      <c r="J15" s="11"/>
      <c r="K15" s="11"/>
      <c r="N15" s="11"/>
      <c r="O15" s="11"/>
      <c r="Q15" s="11"/>
      <c r="R15" s="11"/>
      <c r="U15" s="11"/>
      <c r="V15" s="11"/>
      <c r="X15" s="11"/>
      <c r="Y15" s="11"/>
      <c r="AB15" s="11"/>
      <c r="AC15" s="11"/>
      <c r="AE15" s="11"/>
      <c r="AF15" s="11"/>
      <c r="AI15" s="11"/>
      <c r="AJ15" s="11"/>
      <c r="AL15" s="11"/>
      <c r="AM15" s="11"/>
    </row>
    <row r="16" spans="1:39" ht="15">
      <c r="A16" s="8" t="s">
        <v>291</v>
      </c>
      <c r="B16" s="10"/>
      <c r="C16" s="11">
        <v>6.51</v>
      </c>
      <c r="D16" s="11"/>
      <c r="G16" s="19" t="e">
        <f>Basis!#REF!</f>
        <v>#REF!</v>
      </c>
      <c r="H16" s="11"/>
      <c r="I16" s="11"/>
      <c r="J16" s="19" t="e">
        <f>$K$13*(G16/100)</f>
        <v>#REF!</v>
      </c>
      <c r="K16" s="11"/>
      <c r="N16" s="19" t="e">
        <f>Basis!#REF!</f>
        <v>#REF!</v>
      </c>
      <c r="O16" s="11"/>
      <c r="Q16" s="19" t="e">
        <f>$R$13*(N16/100)</f>
        <v>#REF!</v>
      </c>
      <c r="R16" s="11"/>
      <c r="U16" s="19" t="e">
        <f>Basis!#REF!</f>
        <v>#REF!</v>
      </c>
      <c r="V16" s="11"/>
      <c r="X16" s="19" t="e">
        <f>$Y$13*(U16/100)</f>
        <v>#REF!</v>
      </c>
      <c r="Y16" s="11"/>
      <c r="AB16" s="19" t="e">
        <f>Basis!#REF!</f>
        <v>#REF!</v>
      </c>
      <c r="AC16" s="11"/>
      <c r="AE16" s="19" t="e">
        <f>$AF$13*(AB16/100)</f>
        <v>#REF!</v>
      </c>
      <c r="AF16" s="11"/>
      <c r="AI16" s="19" t="e">
        <f>Basis!#REF!</f>
        <v>#REF!</v>
      </c>
      <c r="AJ16" s="11"/>
      <c r="AL16" s="19" t="e">
        <f>$AM$13*(AI16/100)</f>
        <v>#REF!</v>
      </c>
      <c r="AM16" s="11"/>
    </row>
    <row r="17" spans="1:39" ht="15">
      <c r="A17" s="8" t="s">
        <v>263</v>
      </c>
      <c r="B17" s="10"/>
      <c r="C17" s="11">
        <v>7.74</v>
      </c>
      <c r="D17" s="11"/>
      <c r="G17" s="19" t="e">
        <f>Basis!#REF!</f>
        <v>#REF!</v>
      </c>
      <c r="H17" s="11"/>
      <c r="I17" s="11"/>
      <c r="J17" s="19" t="e">
        <f>$K$13*(G17/100)</f>
        <v>#REF!</v>
      </c>
      <c r="K17" s="11"/>
      <c r="N17" s="19" t="e">
        <f>Basis!#REF!</f>
        <v>#REF!</v>
      </c>
      <c r="O17" s="11"/>
      <c r="Q17" s="19" t="e">
        <f>$R$13*(N17/100)</f>
        <v>#REF!</v>
      </c>
      <c r="R17" s="11"/>
      <c r="U17" s="19" t="e">
        <f>Basis!#REF!</f>
        <v>#REF!</v>
      </c>
      <c r="V17" s="11"/>
      <c r="X17" s="19" t="e">
        <f>$Y$13*(U17/100)</f>
        <v>#REF!</v>
      </c>
      <c r="Y17" s="11"/>
      <c r="AB17" s="19" t="e">
        <f>Basis!#REF!</f>
        <v>#REF!</v>
      </c>
      <c r="AC17" s="11"/>
      <c r="AE17" s="19" t="e">
        <f>$AF$13*(AB17/100)</f>
        <v>#REF!</v>
      </c>
      <c r="AF17" s="11"/>
      <c r="AI17" s="19" t="e">
        <f>Basis!#REF!</f>
        <v>#REF!</v>
      </c>
      <c r="AJ17" s="11"/>
      <c r="AL17" s="19" t="e">
        <f>$AM$13*(AI17/100)</f>
        <v>#REF!</v>
      </c>
      <c r="AM17" s="11"/>
    </row>
    <row r="18" spans="1:39" ht="15">
      <c r="A18" s="8" t="s">
        <v>264</v>
      </c>
      <c r="B18" s="10"/>
      <c r="C18" s="11">
        <v>8.14</v>
      </c>
      <c r="D18" s="11"/>
      <c r="G18" s="19" t="e">
        <f>Basis!#REF!</f>
        <v>#REF!</v>
      </c>
      <c r="H18" s="11"/>
      <c r="I18" s="11"/>
      <c r="J18" s="19" t="e">
        <f>$K$13*(G18/100)</f>
        <v>#REF!</v>
      </c>
      <c r="K18" s="11"/>
      <c r="N18" s="19" t="e">
        <f>Basis!#REF!</f>
        <v>#REF!</v>
      </c>
      <c r="O18" s="11"/>
      <c r="Q18" s="19" t="e">
        <f>$R$13*(N18/100)</f>
        <v>#REF!</v>
      </c>
      <c r="R18" s="11"/>
      <c r="U18" s="19" t="e">
        <f>Basis!#REF!</f>
        <v>#REF!</v>
      </c>
      <c r="V18" s="11"/>
      <c r="X18" s="19" t="e">
        <f>$Y$13*(U18/100)</f>
        <v>#REF!</v>
      </c>
      <c r="Y18" s="11"/>
      <c r="AB18" s="19" t="e">
        <f>Basis!#REF!</f>
        <v>#REF!</v>
      </c>
      <c r="AC18" s="11"/>
      <c r="AE18" s="19" t="e">
        <f>$AF$13*(AB18/100)</f>
        <v>#REF!</v>
      </c>
      <c r="AF18" s="11"/>
      <c r="AI18" s="19" t="e">
        <f>Basis!#REF!</f>
        <v>#REF!</v>
      </c>
      <c r="AJ18" s="11"/>
      <c r="AL18" s="19" t="e">
        <f>$AM$13*(AI18/100)</f>
        <v>#REF!</v>
      </c>
      <c r="AM18" s="11"/>
    </row>
    <row r="19" spans="1:39" ht="15">
      <c r="A19" s="8" t="s">
        <v>292</v>
      </c>
      <c r="B19" s="10"/>
      <c r="C19" s="11">
        <v>4.3550000000000004</v>
      </c>
      <c r="D19" s="11"/>
      <c r="G19" s="18">
        <v>8.5299999999999994</v>
      </c>
      <c r="H19" s="11"/>
      <c r="I19" s="11"/>
      <c r="J19" s="18" t="e">
        <f>(K13-Basis!$G$175)*(15.9/100)</f>
        <v>#REF!</v>
      </c>
      <c r="K19" s="28"/>
      <c r="N19" s="18">
        <v>8.5220000000000002</v>
      </c>
      <c r="O19" s="11"/>
      <c r="Q19" s="18" t="e">
        <f>(R13-Basis!$G$175)*(15.9/100)</f>
        <v>#REF!</v>
      </c>
      <c r="R19" s="28"/>
      <c r="U19" s="18">
        <v>8.9649999999999999</v>
      </c>
      <c r="V19" s="11"/>
      <c r="X19" s="18" t="e">
        <f>(Y13-Basis!$G$175)*(15.9/100)</f>
        <v>#REF!</v>
      </c>
      <c r="Y19" s="28"/>
      <c r="AB19" s="18">
        <v>9.57</v>
      </c>
      <c r="AC19" s="11"/>
      <c r="AE19" s="18" t="e">
        <f>(AF13-Basis!$G$175)*(15.9/100)</f>
        <v>#REF!</v>
      </c>
      <c r="AF19" s="28"/>
      <c r="AI19" s="18">
        <v>8.5079999999999991</v>
      </c>
      <c r="AJ19" s="11"/>
      <c r="AL19" s="18" t="e">
        <f>(AM13-Basis!$G$175)*(15.9/100)</f>
        <v>#REF!</v>
      </c>
      <c r="AM19" s="28"/>
    </row>
    <row r="20" spans="1:39" ht="15">
      <c r="A20" s="8" t="s">
        <v>293</v>
      </c>
      <c r="B20" s="10"/>
      <c r="C20" s="11">
        <v>3.6</v>
      </c>
      <c r="D20" s="11"/>
      <c r="G20" s="11">
        <f>(Basis!$K$99*100)</f>
        <v>4.4000000000000004</v>
      </c>
      <c r="H20" s="11"/>
      <c r="I20" s="11"/>
      <c r="J20" s="11" t="e">
        <f t="shared" ref="J20:J26" si="0">$K$13*(G20/100)</f>
        <v>#REF!</v>
      </c>
      <c r="K20" s="11"/>
      <c r="N20" s="11">
        <f>(Basis!$K$99*100)</f>
        <v>4.4000000000000004</v>
      </c>
      <c r="O20" s="11"/>
      <c r="Q20" s="11" t="e">
        <f t="shared" ref="Q20:Q26" si="1">$R$13*(N20/100)</f>
        <v>#REF!</v>
      </c>
      <c r="R20" s="11"/>
      <c r="U20" s="11">
        <v>7</v>
      </c>
      <c r="V20" s="11"/>
      <c r="X20" s="11" t="e">
        <f t="shared" ref="X20:X26" si="2">$Y$13*(U20/100)</f>
        <v>#REF!</v>
      </c>
      <c r="Y20" s="11"/>
      <c r="AB20" s="11">
        <v>7.8</v>
      </c>
      <c r="AC20" s="11"/>
      <c r="AE20" s="11" t="e">
        <f t="shared" ref="AE20:AE26" si="3">$AF$13*(AB20/100)</f>
        <v>#REF!</v>
      </c>
      <c r="AF20" s="11"/>
      <c r="AI20" s="11">
        <v>5.9</v>
      </c>
      <c r="AJ20" s="11"/>
      <c r="AL20" s="11" t="e">
        <f t="shared" ref="AL20:AL26" si="4">$AM$13*(AI20/100)</f>
        <v>#REF!</v>
      </c>
      <c r="AM20" s="11"/>
    </row>
    <row r="21" spans="1:39" ht="15">
      <c r="A21" s="8" t="s">
        <v>294</v>
      </c>
      <c r="B21" s="10"/>
      <c r="C21" s="11">
        <v>3.6</v>
      </c>
      <c r="D21" s="11"/>
      <c r="G21" s="11" t="e">
        <f>Basis!#REF!</f>
        <v>#REF!</v>
      </c>
      <c r="H21" s="11"/>
      <c r="I21" s="11"/>
      <c r="J21" s="11" t="e">
        <f t="shared" si="0"/>
        <v>#REF!</v>
      </c>
      <c r="K21" s="11"/>
      <c r="N21" s="11" t="e">
        <f>Basis!#REF!</f>
        <v>#REF!</v>
      </c>
      <c r="O21" s="11"/>
      <c r="Q21" s="11" t="e">
        <f t="shared" si="1"/>
        <v>#REF!</v>
      </c>
      <c r="R21" s="11"/>
      <c r="U21" s="11" t="e">
        <f>Basis!#REF!</f>
        <v>#REF!</v>
      </c>
      <c r="V21" s="11"/>
      <c r="X21" s="11" t="e">
        <f t="shared" si="2"/>
        <v>#REF!</v>
      </c>
      <c r="Y21" s="11"/>
      <c r="AB21" s="11" t="e">
        <f>Basis!#REF!</f>
        <v>#REF!</v>
      </c>
      <c r="AC21" s="11"/>
      <c r="AE21" s="11" t="e">
        <f t="shared" si="3"/>
        <v>#REF!</v>
      </c>
      <c r="AF21" s="11"/>
      <c r="AI21" s="11" t="e">
        <f>Basis!#REF!</f>
        <v>#REF!</v>
      </c>
      <c r="AJ21" s="11"/>
      <c r="AL21" s="11" t="e">
        <f t="shared" si="4"/>
        <v>#REF!</v>
      </c>
      <c r="AM21" s="11"/>
    </row>
    <row r="22" spans="1:39" ht="15">
      <c r="A22" s="8" t="s">
        <v>295</v>
      </c>
      <c r="B22" s="10"/>
      <c r="C22" s="11">
        <v>0.45</v>
      </c>
      <c r="D22" s="11"/>
      <c r="G22" s="11" t="e">
        <f>Basis!#REF!</f>
        <v>#REF!</v>
      </c>
      <c r="H22" s="11"/>
      <c r="I22" s="11"/>
      <c r="J22" s="11" t="e">
        <f t="shared" si="0"/>
        <v>#REF!</v>
      </c>
      <c r="K22" s="11"/>
      <c r="N22" s="11" t="e">
        <f>Basis!#REF!</f>
        <v>#REF!</v>
      </c>
      <c r="O22" s="11"/>
      <c r="Q22" s="11" t="e">
        <f t="shared" si="1"/>
        <v>#REF!</v>
      </c>
      <c r="R22" s="11"/>
      <c r="U22" s="11" t="e">
        <f>Basis!#REF!</f>
        <v>#REF!</v>
      </c>
      <c r="V22" s="11"/>
      <c r="X22" s="11" t="e">
        <f t="shared" si="2"/>
        <v>#REF!</v>
      </c>
      <c r="Y22" s="11"/>
      <c r="AB22" s="11" t="e">
        <f>Basis!#REF!</f>
        <v>#REF!</v>
      </c>
      <c r="AC22" s="11"/>
      <c r="AE22" s="11" t="e">
        <f t="shared" si="3"/>
        <v>#REF!</v>
      </c>
      <c r="AF22" s="11"/>
      <c r="AI22" s="11" t="e">
        <f>Basis!#REF!</f>
        <v>#REF!</v>
      </c>
      <c r="AJ22" s="11"/>
      <c r="AL22" s="11" t="e">
        <f t="shared" si="4"/>
        <v>#REF!</v>
      </c>
      <c r="AM22" s="11"/>
    </row>
    <row r="23" spans="1:39" ht="15">
      <c r="A23" s="8" t="s">
        <v>268</v>
      </c>
      <c r="B23" s="10"/>
      <c r="C23" s="11">
        <v>0.38</v>
      </c>
      <c r="D23" s="11"/>
      <c r="G23" s="11" t="e">
        <f>Basis!#REF!</f>
        <v>#REF!</v>
      </c>
      <c r="H23" s="11"/>
      <c r="I23" s="11"/>
      <c r="J23" s="11" t="e">
        <f t="shared" si="0"/>
        <v>#REF!</v>
      </c>
      <c r="K23" s="11"/>
      <c r="N23" s="11" t="e">
        <f>Basis!#REF!</f>
        <v>#REF!</v>
      </c>
      <c r="O23" s="11"/>
      <c r="Q23" s="11" t="e">
        <f t="shared" si="1"/>
        <v>#REF!</v>
      </c>
      <c r="R23" s="11"/>
      <c r="U23" s="11" t="e">
        <f>Basis!#REF!</f>
        <v>#REF!</v>
      </c>
      <c r="V23" s="11"/>
      <c r="X23" s="11" t="e">
        <f t="shared" si="2"/>
        <v>#REF!</v>
      </c>
      <c r="Y23" s="11"/>
      <c r="AB23" s="11" t="e">
        <f>Basis!#REF!</f>
        <v>#REF!</v>
      </c>
      <c r="AC23" s="11"/>
      <c r="AE23" s="11" t="e">
        <f t="shared" si="3"/>
        <v>#REF!</v>
      </c>
      <c r="AF23" s="11"/>
      <c r="AI23" s="11" t="e">
        <f>Basis!#REF!</f>
        <v>#REF!</v>
      </c>
      <c r="AJ23" s="11"/>
      <c r="AL23" s="11" t="e">
        <f t="shared" si="4"/>
        <v>#REF!</v>
      </c>
      <c r="AM23" s="11"/>
    </row>
    <row r="24" spans="1:39" ht="15">
      <c r="A24" s="8" t="s">
        <v>269</v>
      </c>
      <c r="B24" s="10"/>
      <c r="C24" s="11">
        <v>1.02</v>
      </c>
      <c r="D24" s="11"/>
      <c r="G24" s="11" t="e">
        <f>Basis!#REF!</f>
        <v>#REF!</v>
      </c>
      <c r="H24" s="11"/>
      <c r="I24" s="11"/>
      <c r="J24" s="11" t="e">
        <f t="shared" si="0"/>
        <v>#REF!</v>
      </c>
      <c r="K24" s="11"/>
      <c r="N24" s="11" t="e">
        <f>Basis!#REF!</f>
        <v>#REF!</v>
      </c>
      <c r="O24" s="11"/>
      <c r="Q24" s="11" t="e">
        <f t="shared" si="1"/>
        <v>#REF!</v>
      </c>
      <c r="R24" s="11"/>
      <c r="U24" s="11" t="e">
        <f>Basis!#REF!</f>
        <v>#REF!</v>
      </c>
      <c r="V24" s="11"/>
      <c r="X24" s="11" t="e">
        <f t="shared" si="2"/>
        <v>#REF!</v>
      </c>
      <c r="Y24" s="11"/>
      <c r="AB24" s="11" t="e">
        <f>Basis!#REF!</f>
        <v>#REF!</v>
      </c>
      <c r="AC24" s="11"/>
      <c r="AE24" s="11" t="e">
        <f t="shared" si="3"/>
        <v>#REF!</v>
      </c>
      <c r="AF24" s="11"/>
      <c r="AI24" s="11" t="e">
        <f>Basis!#REF!</f>
        <v>#REF!</v>
      </c>
      <c r="AJ24" s="11"/>
      <c r="AL24" s="11" t="e">
        <f t="shared" si="4"/>
        <v>#REF!</v>
      </c>
      <c r="AM24" s="11"/>
    </row>
    <row r="25" spans="1:39" ht="15">
      <c r="A25" s="8" t="s">
        <v>271</v>
      </c>
      <c r="B25" s="10"/>
      <c r="C25" s="11">
        <v>0.1</v>
      </c>
      <c r="D25" s="11"/>
      <c r="G25" s="11" t="e">
        <f>Basis!#REF!</f>
        <v>#REF!</v>
      </c>
      <c r="H25" s="11"/>
      <c r="I25" s="11"/>
      <c r="J25" s="11" t="e">
        <f t="shared" si="0"/>
        <v>#REF!</v>
      </c>
      <c r="K25" s="11"/>
      <c r="N25" s="11" t="e">
        <f>Basis!#REF!</f>
        <v>#REF!</v>
      </c>
      <c r="O25" s="11"/>
      <c r="Q25" s="11" t="e">
        <f t="shared" si="1"/>
        <v>#REF!</v>
      </c>
      <c r="R25" s="11"/>
      <c r="U25" s="11" t="e">
        <f>Basis!#REF!</f>
        <v>#REF!</v>
      </c>
      <c r="V25" s="11"/>
      <c r="X25" s="11" t="e">
        <f t="shared" si="2"/>
        <v>#REF!</v>
      </c>
      <c r="Y25" s="11"/>
      <c r="AB25" s="11" t="e">
        <f>Basis!#REF!</f>
        <v>#REF!</v>
      </c>
      <c r="AC25" s="11"/>
      <c r="AE25" s="11" t="e">
        <f t="shared" si="3"/>
        <v>#REF!</v>
      </c>
      <c r="AF25" s="11"/>
      <c r="AI25" s="11" t="e">
        <f>Basis!#REF!</f>
        <v>#REF!</v>
      </c>
      <c r="AJ25" s="11"/>
      <c r="AL25" s="11" t="e">
        <f t="shared" si="4"/>
        <v>#REF!</v>
      </c>
      <c r="AM25" s="11"/>
    </row>
    <row r="26" spans="1:39" ht="15">
      <c r="A26" s="8" t="s">
        <v>296</v>
      </c>
      <c r="B26" s="10"/>
      <c r="C26" s="14">
        <v>0.2</v>
      </c>
      <c r="D26" s="11"/>
      <c r="G26" s="14" t="e">
        <f>Basis!#REF!</f>
        <v>#REF!</v>
      </c>
      <c r="H26" s="11"/>
      <c r="I26" s="11"/>
      <c r="J26" s="11" t="e">
        <f t="shared" si="0"/>
        <v>#REF!</v>
      </c>
      <c r="K26" s="11"/>
      <c r="N26" s="14" t="e">
        <f>Basis!#REF!</f>
        <v>#REF!</v>
      </c>
      <c r="O26" s="11"/>
      <c r="Q26" s="11" t="e">
        <f t="shared" si="1"/>
        <v>#REF!</v>
      </c>
      <c r="R26" s="11"/>
      <c r="U26" s="14" t="e">
        <f>Basis!#REF!</f>
        <v>#REF!</v>
      </c>
      <c r="V26" s="11"/>
      <c r="X26" s="11" t="e">
        <f t="shared" si="2"/>
        <v>#REF!</v>
      </c>
      <c r="Y26" s="11"/>
      <c r="AB26" s="14" t="e">
        <f>Basis!#REF!</f>
        <v>#REF!</v>
      </c>
      <c r="AC26" s="11"/>
      <c r="AE26" s="11" t="e">
        <f t="shared" si="3"/>
        <v>#REF!</v>
      </c>
      <c r="AF26" s="11"/>
      <c r="AI26" s="14" t="e">
        <f>Basis!#REF!</f>
        <v>#REF!</v>
      </c>
      <c r="AJ26" s="11"/>
      <c r="AL26" s="11" t="e">
        <f t="shared" si="4"/>
        <v>#REF!</v>
      </c>
      <c r="AM26" s="11"/>
    </row>
    <row r="27" spans="1:39" ht="15">
      <c r="A27" s="8"/>
      <c r="B27" s="10"/>
      <c r="C27" s="17">
        <v>36.095000000000013</v>
      </c>
      <c r="D27" s="11">
        <f>((C27/100)*D13)+D13</f>
        <v>168.92725732830002</v>
      </c>
      <c r="G27" s="17" t="e">
        <f>SUM(G16:G26)</f>
        <v>#REF!</v>
      </c>
      <c r="H27" s="11" t="e">
        <f>((G27/100)*H13)+H13</f>
        <v>#REF!</v>
      </c>
      <c r="I27" s="11"/>
      <c r="J27" s="17" t="e">
        <f>SUM(J16:J26)</f>
        <v>#REF!</v>
      </c>
      <c r="K27" s="11" t="e">
        <f>K13+J27</f>
        <v>#REF!</v>
      </c>
      <c r="N27" s="17" t="e">
        <f>SUM(N16:N26)</f>
        <v>#REF!</v>
      </c>
      <c r="O27" s="11" t="e">
        <f>((N27/100)*O13)+O13</f>
        <v>#REF!</v>
      </c>
      <c r="Q27" s="17" t="e">
        <f>SUM(Q16:Q26)</f>
        <v>#REF!</v>
      </c>
      <c r="R27" s="11" t="e">
        <f>R13+Q27</f>
        <v>#REF!</v>
      </c>
      <c r="U27" s="17" t="e">
        <f>SUM(U16:U26)</f>
        <v>#REF!</v>
      </c>
      <c r="V27" s="11" t="e">
        <f>((U27/100)*V13)+V13</f>
        <v>#REF!</v>
      </c>
      <c r="X27" s="17" t="e">
        <f>SUM(X16:X26)</f>
        <v>#REF!</v>
      </c>
      <c r="Y27" s="11" t="e">
        <f>Y13+X27</f>
        <v>#REF!</v>
      </c>
      <c r="AB27" s="17" t="e">
        <f>SUM(AB16:AB26)</f>
        <v>#REF!</v>
      </c>
      <c r="AC27" s="11" t="e">
        <f>((AB27/100)*AC13)+AC13</f>
        <v>#REF!</v>
      </c>
      <c r="AE27" s="17" t="e">
        <f>SUM(AE16:AE26)</f>
        <v>#REF!</v>
      </c>
      <c r="AF27" s="11" t="e">
        <f>AF13+AE27</f>
        <v>#REF!</v>
      </c>
      <c r="AI27" s="17" t="e">
        <f>SUM(AI16:AI26)</f>
        <v>#REF!</v>
      </c>
      <c r="AJ27" s="11" t="e">
        <f>((AI27/100)*AJ13)+AJ13</f>
        <v>#REF!</v>
      </c>
      <c r="AL27" s="17" t="e">
        <f>SUM(AL16:AL26)</f>
        <v>#REF!</v>
      </c>
      <c r="AM27" s="11" t="e">
        <f>AM13+AL27</f>
        <v>#REF!</v>
      </c>
    </row>
    <row r="28" spans="1:39" ht="15">
      <c r="A28" s="13" t="s">
        <v>297</v>
      </c>
      <c r="B28" s="10"/>
      <c r="C28" s="11"/>
      <c r="D28" s="11"/>
      <c r="G28" s="11"/>
      <c r="H28" s="11"/>
      <c r="I28" s="11"/>
      <c r="J28" s="11"/>
      <c r="K28" s="11"/>
      <c r="N28" s="11"/>
      <c r="O28" s="11"/>
      <c r="Q28" s="11"/>
      <c r="R28" s="11"/>
      <c r="U28" s="11"/>
      <c r="V28" s="11"/>
      <c r="X28" s="11"/>
      <c r="Y28" s="11"/>
      <c r="AB28" s="11"/>
      <c r="AC28" s="11"/>
      <c r="AE28" s="11"/>
      <c r="AF28" s="11"/>
      <c r="AI28" s="11"/>
      <c r="AJ28" s="11"/>
      <c r="AL28" s="11"/>
      <c r="AM28" s="11"/>
    </row>
    <row r="29" spans="1:39" ht="15">
      <c r="A29" s="8" t="s">
        <v>272</v>
      </c>
      <c r="B29" s="10">
        <v>2.25</v>
      </c>
      <c r="C29" s="11">
        <v>3.65</v>
      </c>
      <c r="D29" s="11"/>
      <c r="G29" s="11" t="e">
        <f>Basis!#REF!</f>
        <v>#REF!</v>
      </c>
      <c r="H29" s="11"/>
      <c r="I29" s="11"/>
      <c r="J29" s="11" t="e">
        <f>$K$27*(G29/100)</f>
        <v>#REF!</v>
      </c>
      <c r="K29" s="11"/>
      <c r="N29" s="11" t="e">
        <f>Basis!#REF!</f>
        <v>#REF!</v>
      </c>
      <c r="O29" s="11"/>
      <c r="Q29" s="11" t="e">
        <f>$R$27*(N29/100)</f>
        <v>#REF!</v>
      </c>
      <c r="R29" s="11"/>
      <c r="U29" s="11" t="e">
        <f>Basis!#REF!</f>
        <v>#REF!</v>
      </c>
      <c r="V29" s="11"/>
      <c r="X29" s="11" t="e">
        <f>$Y$27*(U29/100)</f>
        <v>#REF!</v>
      </c>
      <c r="Y29" s="11"/>
      <c r="AB29" s="11" t="e">
        <f>Basis!#REF!</f>
        <v>#REF!</v>
      </c>
      <c r="AC29" s="11"/>
      <c r="AE29" s="11" t="e">
        <f>$AF$27*(AB29/100)</f>
        <v>#REF!</v>
      </c>
      <c r="AF29" s="11"/>
      <c r="AI29" s="11" t="e">
        <f>Basis!#REF!</f>
        <v>#REF!</v>
      </c>
      <c r="AJ29" s="11"/>
      <c r="AL29" s="11" t="e">
        <f>$R$27*(AI29/100)</f>
        <v>#REF!</v>
      </c>
      <c r="AM29" s="11"/>
    </row>
    <row r="30" spans="1:39" ht="15">
      <c r="A30" s="8" t="s">
        <v>298</v>
      </c>
      <c r="B30" s="10"/>
      <c r="C30" s="14">
        <v>0.7</v>
      </c>
      <c r="D30" s="11"/>
      <c r="G30" s="14" t="e">
        <f>Basis!#REF!</f>
        <v>#REF!</v>
      </c>
      <c r="H30" s="11"/>
      <c r="I30" s="11"/>
      <c r="J30" s="14" t="e">
        <f>$K$27*(G30/100)</f>
        <v>#REF!</v>
      </c>
      <c r="K30" s="11"/>
      <c r="N30" s="14" t="e">
        <f>Basis!#REF!</f>
        <v>#REF!</v>
      </c>
      <c r="O30" s="11"/>
      <c r="Q30" s="14" t="e">
        <f>$R$27*(N30/100)</f>
        <v>#REF!</v>
      </c>
      <c r="R30" s="11"/>
      <c r="U30" s="14" t="e">
        <f>Basis!#REF!</f>
        <v>#REF!</v>
      </c>
      <c r="V30" s="11"/>
      <c r="X30" s="14" t="e">
        <f>$Y$27*(U30/100)</f>
        <v>#REF!</v>
      </c>
      <c r="Y30" s="11"/>
      <c r="AB30" s="14" t="e">
        <f>Basis!#REF!</f>
        <v>#REF!</v>
      </c>
      <c r="AC30" s="11"/>
      <c r="AE30" s="14" t="e">
        <f>$AF$27*(AB30/100)</f>
        <v>#REF!</v>
      </c>
      <c r="AF30" s="11"/>
      <c r="AI30" s="14" t="e">
        <f>Basis!#REF!</f>
        <v>#REF!</v>
      </c>
      <c r="AJ30" s="11"/>
      <c r="AL30" s="14" t="e">
        <f>$R$27*(AI30/100)</f>
        <v>#REF!</v>
      </c>
      <c r="AM30" s="11"/>
    </row>
    <row r="31" spans="1:39" ht="15">
      <c r="A31" s="8"/>
      <c r="B31" s="11"/>
      <c r="C31" s="11">
        <v>4.3499999999999996</v>
      </c>
      <c r="D31" s="11">
        <f>((C31/100)*D27)+D27</f>
        <v>176.27559302208107</v>
      </c>
      <c r="G31" s="11" t="e">
        <f>SUM(G29:G30)</f>
        <v>#REF!</v>
      </c>
      <c r="H31" s="11" t="e">
        <f>((G31/100)*H27)+H27</f>
        <v>#REF!</v>
      </c>
      <c r="I31" s="11"/>
      <c r="J31" s="11" t="e">
        <f>SUM(J29:J30)</f>
        <v>#REF!</v>
      </c>
      <c r="K31" s="11" t="e">
        <f>K27+J31</f>
        <v>#REF!</v>
      </c>
      <c r="N31" s="11" t="e">
        <f>SUM(N29:N30)</f>
        <v>#REF!</v>
      </c>
      <c r="O31" s="11" t="e">
        <f>((N31/100)*O27)+O27</f>
        <v>#REF!</v>
      </c>
      <c r="Q31" s="11" t="e">
        <f>SUM(Q29:Q30)</f>
        <v>#REF!</v>
      </c>
      <c r="R31" s="11" t="e">
        <f>R27+Q31</f>
        <v>#REF!</v>
      </c>
      <c r="U31" s="11" t="e">
        <f>SUM(U29:U30)</f>
        <v>#REF!</v>
      </c>
      <c r="V31" s="11" t="e">
        <f>((U31/100)*V27)+V27</f>
        <v>#REF!</v>
      </c>
      <c r="X31" s="11" t="e">
        <f>SUM(X29:X30)</f>
        <v>#REF!</v>
      </c>
      <c r="Y31" s="11" t="e">
        <f>Y27+X31</f>
        <v>#REF!</v>
      </c>
      <c r="AB31" s="11" t="e">
        <f>SUM(AB29:AB30)</f>
        <v>#REF!</v>
      </c>
      <c r="AC31" s="11" t="e">
        <f>((AB31/100)*AC27)+AC27</f>
        <v>#REF!</v>
      </c>
      <c r="AE31" s="11" t="e">
        <f>SUM(AE29:AE30)</f>
        <v>#REF!</v>
      </c>
      <c r="AF31" s="11" t="e">
        <f>AF27+AE31</f>
        <v>#REF!</v>
      </c>
      <c r="AI31" s="11" t="e">
        <f>SUM(AI29:AI30)</f>
        <v>#REF!</v>
      </c>
      <c r="AJ31" s="11" t="e">
        <f>((AI31/100)*AJ27)+AJ27</f>
        <v>#REF!</v>
      </c>
      <c r="AL31" s="11" t="e">
        <f>SUM(AL29:AL30)</f>
        <v>#REF!</v>
      </c>
      <c r="AM31" s="11" t="e">
        <f>AM27+AL31</f>
        <v>#REF!</v>
      </c>
    </row>
    <row r="32" spans="1:39" ht="15">
      <c r="A32" s="8"/>
      <c r="B32" s="11"/>
      <c r="C32" s="11"/>
      <c r="D32" s="11"/>
      <c r="G32" s="11"/>
      <c r="H32" s="11"/>
      <c r="I32" s="11"/>
      <c r="J32" s="11"/>
      <c r="K32" s="11"/>
      <c r="N32" s="11"/>
      <c r="O32" s="11"/>
      <c r="Q32" s="11"/>
      <c r="R32" s="11"/>
      <c r="U32" s="11"/>
      <c r="V32" s="11"/>
      <c r="X32" s="11"/>
      <c r="Y32" s="11"/>
      <c r="AB32" s="11"/>
      <c r="AC32" s="11"/>
      <c r="AE32" s="11"/>
      <c r="AF32" s="11"/>
      <c r="AI32" s="11"/>
      <c r="AJ32" s="11"/>
      <c r="AL32" s="11"/>
      <c r="AM32" s="11"/>
    </row>
    <row r="33" spans="1:39" ht="15">
      <c r="A33" s="8"/>
      <c r="B33" s="11"/>
      <c r="C33" s="11"/>
      <c r="D33" s="4">
        <f>D31/C3</f>
        <v>1.7627559302208107</v>
      </c>
      <c r="G33" s="11"/>
      <c r="H33" s="4" t="e">
        <f>H31/G3</f>
        <v>#REF!</v>
      </c>
      <c r="I33" s="4"/>
      <c r="J33" s="11"/>
      <c r="K33" s="4" t="e">
        <f>K31/J3</f>
        <v>#REF!</v>
      </c>
      <c r="N33" s="11"/>
      <c r="O33" s="4" t="e">
        <f>O31/N3</f>
        <v>#REF!</v>
      </c>
      <c r="Q33" s="11"/>
      <c r="R33" s="4" t="e">
        <f>R31/Q3</f>
        <v>#REF!</v>
      </c>
      <c r="U33" s="11"/>
      <c r="V33" s="4" t="e">
        <f>V31/U3</f>
        <v>#REF!</v>
      </c>
      <c r="X33" s="11"/>
      <c r="Y33" s="4" t="e">
        <f>Y31/X3</f>
        <v>#REF!</v>
      </c>
      <c r="AB33" s="11"/>
      <c r="AC33" s="4" t="e">
        <f>AC31/AB3</f>
        <v>#REF!</v>
      </c>
      <c r="AE33" s="11"/>
      <c r="AF33" s="4" t="e">
        <f>AF31/AE3</f>
        <v>#REF!</v>
      </c>
      <c r="AI33" s="11"/>
      <c r="AJ33" s="4" t="e">
        <f>AJ31/AI3</f>
        <v>#REF!</v>
      </c>
      <c r="AL33" s="11"/>
      <c r="AM33" s="4" t="e">
        <f>AM31/AL3</f>
        <v>#REF!</v>
      </c>
    </row>
    <row r="36" spans="1:39">
      <c r="A36" t="s">
        <v>299</v>
      </c>
      <c r="C36" s="2">
        <v>1.37</v>
      </c>
    </row>
    <row r="37" spans="1:39">
      <c r="A37" t="s">
        <v>300</v>
      </c>
      <c r="C37">
        <f>C36+(15.9/100)</f>
        <v>1.5290000000000001</v>
      </c>
    </row>
  </sheetData>
  <mergeCells count="6">
    <mergeCell ref="AH1:AJ1"/>
    <mergeCell ref="B1:D1"/>
    <mergeCell ref="F1:H1"/>
    <mergeCell ref="M1:O1"/>
    <mergeCell ref="T1:V1"/>
    <mergeCell ref="AA1:A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75bb22b-63f3-45ed-8f09-edc1cacf603d" xsi:nil="true"/>
    <lcf76f155ced4ddcb4097134ff3c332f xmlns="1e67d232-dc2c-47ea-9ca7-cfa91746a7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514DA9EE4AB9498D303D578D0BE83C" ma:contentTypeVersion="17" ma:contentTypeDescription="Een nieuw document maken." ma:contentTypeScope="" ma:versionID="af23c83e1da9b4e5e6b42efdb0771509">
  <xsd:schema xmlns:xsd="http://www.w3.org/2001/XMLSchema" xmlns:xs="http://www.w3.org/2001/XMLSchema" xmlns:p="http://schemas.microsoft.com/office/2006/metadata/properties" xmlns:ns2="1e67d232-dc2c-47ea-9ca7-cfa91746a7f2" xmlns:ns3="175bb22b-63f3-45ed-8f09-edc1cacf603d" targetNamespace="http://schemas.microsoft.com/office/2006/metadata/properties" ma:root="true" ma:fieldsID="6477cfc049f9872291ecec04857336e5" ns2:_="" ns3:_="">
    <xsd:import namespace="1e67d232-dc2c-47ea-9ca7-cfa91746a7f2"/>
    <xsd:import namespace="175bb22b-63f3-45ed-8f09-edc1cacf60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67d232-dc2c-47ea-9ca7-cfa91746a7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734d6300-7f27-4960-83ea-a3b0dd3c64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5bb22b-63f3-45ed-8f09-edc1cacf603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7eb9465-a6ac-4669-afa4-08f0bd2d9fcf}" ma:internalName="TaxCatchAll" ma:showField="CatchAllData" ma:web="175bb22b-63f3-45ed-8f09-edc1cacf60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ACAE3E-6D1D-4C6B-B2C8-5DA7E3F9F16E}">
  <ds:schemaRefs>
    <ds:schemaRef ds:uri="http://schemas.microsoft.com/office/2006/metadata/properties"/>
    <ds:schemaRef ds:uri="http://purl.org/dc/elements/1.1/"/>
    <ds:schemaRef ds:uri="175bb22b-63f3-45ed-8f09-edc1cacf603d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1e67d232-dc2c-47ea-9ca7-cfa91746a7f2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6BFFE39-505E-4B8C-AA8A-BEBB07565A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67d232-dc2c-47ea-9ca7-cfa91746a7f2"/>
    <ds:schemaRef ds:uri="175bb22b-63f3-45ed-8f09-edc1cacf60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8F142F-F7F4-41FC-BCDF-D9001B2476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Calculator</vt:lpstr>
      <vt:lpstr>Calculator verbergen</vt:lpstr>
      <vt:lpstr>Database calculator</vt:lpstr>
      <vt:lpstr>KP overzicht</vt:lpstr>
      <vt:lpstr>Pensioen</vt:lpstr>
      <vt:lpstr>Feestdagen</vt:lpstr>
      <vt:lpstr>ET 2026</vt:lpstr>
      <vt:lpstr>Basis</vt:lpstr>
      <vt:lpstr>55. Productiegerichte dierhoud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Arne Lont | Flexpedia</dc:creator>
  <cp:keywords/>
  <dc:description/>
  <cp:lastModifiedBy>Arne Lont | Flexpedia</cp:lastModifiedBy>
  <cp:revision/>
  <dcterms:created xsi:type="dcterms:W3CDTF">2025-10-06T11:21:04Z</dcterms:created>
  <dcterms:modified xsi:type="dcterms:W3CDTF">2025-12-19T21:00:38Z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0x010100C4514DA9EE4AB9498D303D578D0BE83C</vt:lpwstr>
  </property>
  <property fmtid="{D5CDD505-2E9C-101B-9397-08002B2CF9AE}" pid="3" name="MediaServiceImageTags">
    <vt:lpwstr/>
  </property>
</Properties>
</file>